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5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omerica-my.sharepoint.com/personal/ntessier_comerica_com/Documents/Documents/Credit Card Sales Analysis Project/"/>
    </mc:Choice>
  </mc:AlternateContent>
  <xr:revisionPtr revIDLastSave="2110" documentId="8_{CAEFD223-1A0A-49F2-A321-66A6FAF1E975}" xr6:coauthVersionLast="47" xr6:coauthVersionMax="47" xr10:uidLastSave="{9AEFA8D9-400E-449C-8251-75E9DE574F4F}"/>
  <bookViews>
    <workbookView xWindow="-120" yWindow="-120" windowWidth="24240" windowHeight="13140" activeTab="3" xr2:uid="{BCCC9CB2-8020-4B8A-A25C-C965FD5BB519}"/>
  </bookViews>
  <sheets>
    <sheet name="Dashboard" sheetId="11" r:id="rId1"/>
    <sheet name="DATA" sheetId="1" r:id="rId2"/>
    <sheet name="PivotTable" sheetId="12" r:id="rId3"/>
    <sheet name="Calculations" sheetId="8" r:id="rId4"/>
    <sheet name="t-table" sheetId="9" r:id="rId5"/>
    <sheet name="z-table" sheetId="10" r:id="rId6"/>
  </sheets>
  <definedNames>
    <definedName name="_xlchart.v1.0" hidden="1">DATA!$Q$2</definedName>
    <definedName name="_xlchart.v1.1" hidden="1">DATA!$Q$3:$Q$67</definedName>
    <definedName name="_xlchart.v1.2" hidden="1">DATA!$M$3:$M$67</definedName>
    <definedName name="_xlchart.v1.3" hidden="1">DATA!$H$3:$H$67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8" l="1"/>
  <c r="K14" i="8"/>
  <c r="K24" i="8"/>
  <c r="K23" i="8"/>
  <c r="K22" i="8"/>
  <c r="D35" i="8"/>
  <c r="D34" i="8"/>
  <c r="D33" i="8"/>
  <c r="D17" i="8"/>
  <c r="D16" i="8"/>
  <c r="D15" i="8"/>
  <c r="M17" i="8"/>
  <c r="K21" i="8"/>
  <c r="K20" i="8"/>
  <c r="K19" i="8"/>
  <c r="K16" i="8"/>
  <c r="K18" i="8" s="1"/>
  <c r="K15" i="8"/>
  <c r="K13" i="8"/>
  <c r="K12" i="8"/>
  <c r="N7" i="8"/>
  <c r="N6" i="8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K25" i="8" l="1"/>
  <c r="K27" i="8" s="1"/>
  <c r="D36" i="8"/>
  <c r="D37" i="8" s="1"/>
  <c r="O7" i="8"/>
  <c r="D18" i="8"/>
  <c r="D19" i="8" s="1"/>
  <c r="N12" i="8"/>
  <c r="O12" i="8"/>
  <c r="O14" i="8"/>
  <c r="N14" i="8"/>
  <c r="N13" i="8"/>
  <c r="K17" i="8"/>
  <c r="O13" i="8"/>
  <c r="O6" i="8"/>
  <c r="D8" i="8"/>
  <c r="H9" i="1"/>
  <c r="G14" i="8" s="1"/>
  <c r="D6" i="8"/>
  <c r="D14" i="8"/>
  <c r="D13" i="8"/>
  <c r="D12" i="8"/>
  <c r="D9" i="8"/>
  <c r="D5" i="8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4" i="1"/>
  <c r="K5" i="1"/>
  <c r="K6" i="1"/>
  <c r="K7" i="1"/>
  <c r="K8" i="1"/>
  <c r="K9" i="1"/>
  <c r="K10" i="1"/>
  <c r="K11" i="1"/>
  <c r="K12" i="1"/>
  <c r="K13" i="1"/>
  <c r="K14" i="1"/>
  <c r="K15" i="1"/>
  <c r="K3" i="1"/>
  <c r="D38" i="8" l="1"/>
  <c r="K26" i="8"/>
  <c r="D20" i="8"/>
  <c r="M20" i="8"/>
  <c r="G15" i="8"/>
  <c r="D11" i="8"/>
  <c r="G8" i="8" s="1"/>
  <c r="D10" i="8"/>
  <c r="G16" i="8"/>
  <c r="D7" i="8"/>
  <c r="G17" i="8"/>
  <c r="G12" i="8"/>
  <c r="G13" i="8"/>
  <c r="M39" i="1"/>
  <c r="N39" i="1" s="1"/>
  <c r="M40" i="1"/>
  <c r="N40" i="1" s="1"/>
  <c r="M41" i="1"/>
  <c r="N41" i="1" s="1"/>
  <c r="M42" i="1"/>
  <c r="N42" i="1" s="1"/>
  <c r="M43" i="1"/>
  <c r="N43" i="1" s="1"/>
  <c r="M44" i="1"/>
  <c r="N44" i="1" s="1"/>
  <c r="M45" i="1"/>
  <c r="N45" i="1" s="1"/>
  <c r="M46" i="1"/>
  <c r="N46" i="1" s="1"/>
  <c r="M47" i="1"/>
  <c r="N47" i="1" s="1"/>
  <c r="M48" i="1"/>
  <c r="N48" i="1" s="1"/>
  <c r="M49" i="1"/>
  <c r="N49" i="1" s="1"/>
  <c r="M50" i="1"/>
  <c r="N50" i="1" s="1"/>
  <c r="M51" i="1"/>
  <c r="N51" i="1" s="1"/>
  <c r="M52" i="1"/>
  <c r="N52" i="1" s="1"/>
  <c r="M53" i="1"/>
  <c r="N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63" i="1"/>
  <c r="N63" i="1" s="1"/>
  <c r="M64" i="1"/>
  <c r="N64" i="1" s="1"/>
  <c r="M65" i="1"/>
  <c r="N65" i="1" s="1"/>
  <c r="M66" i="1"/>
  <c r="N66" i="1" s="1"/>
  <c r="M67" i="1"/>
  <c r="N67" i="1" s="1"/>
  <c r="K7" i="8" l="1"/>
  <c r="H7" i="8"/>
  <c r="G6" i="8"/>
  <c r="H6" i="8"/>
  <c r="G7" i="8"/>
  <c r="H8" i="8"/>
  <c r="H12" i="8"/>
  <c r="H17" i="8"/>
  <c r="H16" i="8"/>
  <c r="H15" i="8"/>
  <c r="H13" i="8"/>
  <c r="H14" i="8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5" i="1"/>
  <c r="N5" i="1" s="1"/>
  <c r="M4" i="1"/>
  <c r="N4" i="1" s="1"/>
  <c r="M3" i="1"/>
  <c r="N3" i="1" s="1"/>
  <c r="G33" i="8" l="1"/>
  <c r="N21" i="1"/>
  <c r="D25" i="8" s="1"/>
  <c r="D32" i="8"/>
  <c r="D23" i="8"/>
  <c r="D31" i="8"/>
  <c r="D30" i="8"/>
  <c r="D27" i="8"/>
  <c r="D26" i="8"/>
  <c r="D24" i="8"/>
  <c r="G20" i="8" l="1"/>
  <c r="G34" i="8"/>
  <c r="G36" i="8"/>
  <c r="G37" i="8"/>
  <c r="G31" i="8"/>
  <c r="G35" i="8"/>
  <c r="G30" i="8"/>
  <c r="G32" i="8"/>
  <c r="D28" i="8"/>
  <c r="D29" i="8"/>
  <c r="G26" i="8" s="1"/>
  <c r="G24" i="8" l="1"/>
  <c r="H26" i="8"/>
  <c r="H32" i="8"/>
  <c r="H30" i="8"/>
  <c r="G25" i="8"/>
  <c r="H34" i="8"/>
  <c r="H35" i="8"/>
  <c r="H37" i="8"/>
  <c r="H36" i="8"/>
  <c r="H24" i="8"/>
  <c r="H25" i="8"/>
  <c r="H31" i="8"/>
  <c r="H33" i="8"/>
</calcChain>
</file>

<file path=xl/sharedStrings.xml><?xml version="1.0" encoding="utf-8"?>
<sst xmlns="http://schemas.openxmlformats.org/spreadsheetml/2006/main" count="566" uniqueCount="235">
  <si>
    <t>First Name</t>
  </si>
  <si>
    <t>Last Name</t>
  </si>
  <si>
    <t>Gender</t>
  </si>
  <si>
    <t>DOB</t>
  </si>
  <si>
    <t>Open Date</t>
  </si>
  <si>
    <t>Home Branch</t>
  </si>
  <si>
    <t>KAREN</t>
  </si>
  <si>
    <t>JOANNA</t>
  </si>
  <si>
    <t>CHRISTIANA</t>
  </si>
  <si>
    <t>PAULEEN</t>
  </si>
  <si>
    <t>JAMES</t>
  </si>
  <si>
    <t>MA</t>
  </si>
  <si>
    <t>SERGIO</t>
  </si>
  <si>
    <t>JOSUE</t>
  </si>
  <si>
    <t>JANICE</t>
  </si>
  <si>
    <t>RAUL</t>
  </si>
  <si>
    <t>ANGELICA</t>
  </si>
  <si>
    <t>EMELDA</t>
  </si>
  <si>
    <t>KEVIN</t>
  </si>
  <si>
    <t>JOSEPH</t>
  </si>
  <si>
    <t>JODI</t>
  </si>
  <si>
    <t>BETTY</t>
  </si>
  <si>
    <t>TERRIE</t>
  </si>
  <si>
    <t>MIGUEL</t>
  </si>
  <si>
    <t>PHYLLIS</t>
  </si>
  <si>
    <t>JOSE</t>
  </si>
  <si>
    <t>DARYOUSH</t>
  </si>
  <si>
    <t>TUONG</t>
  </si>
  <si>
    <t>JUAN</t>
  </si>
  <si>
    <t>STEVEN</t>
  </si>
  <si>
    <t>TERESA</t>
  </si>
  <si>
    <t>SIDOTH</t>
  </si>
  <si>
    <t>MICHAEL</t>
  </si>
  <si>
    <t>JOHN</t>
  </si>
  <si>
    <t>DAISY</t>
  </si>
  <si>
    <t>NOEME</t>
  </si>
  <si>
    <t>JEFFERY</t>
  </si>
  <si>
    <t>LARRY</t>
  </si>
  <si>
    <t>CAMAC</t>
  </si>
  <si>
    <t>LUIS</t>
  </si>
  <si>
    <t>LILIA</t>
  </si>
  <si>
    <t>BRENT</t>
  </si>
  <si>
    <t>BAUERLE</t>
  </si>
  <si>
    <t>BENSON</t>
  </si>
  <si>
    <t>BONJARDIM</t>
  </si>
  <si>
    <t>BRIDGETTE</t>
  </si>
  <si>
    <t>BROWNE</t>
  </si>
  <si>
    <t>CABIT</t>
  </si>
  <si>
    <t>GRANADOS</t>
  </si>
  <si>
    <t>GUZMAN</t>
  </si>
  <si>
    <t>HIRANO</t>
  </si>
  <si>
    <t>HURTADO CARRANZA</t>
  </si>
  <si>
    <t>JIMENEZ</t>
  </si>
  <si>
    <t>KILAB</t>
  </si>
  <si>
    <t>KRAFT</t>
  </si>
  <si>
    <t>LEIGHT</t>
  </si>
  <si>
    <t>LEWIS</t>
  </si>
  <si>
    <t>LOPEZ-SOUZA</t>
  </si>
  <si>
    <t>LOVEIT</t>
  </si>
  <si>
    <t>MARTINEZ</t>
  </si>
  <si>
    <t>MEDEK</t>
  </si>
  <si>
    <t>MERAZ</t>
  </si>
  <si>
    <t>MESRY</t>
  </si>
  <si>
    <t>NGUYEN</t>
  </si>
  <si>
    <t>NUNEZ</t>
  </si>
  <si>
    <t>ONETO</t>
  </si>
  <si>
    <t>OROPEZA</t>
  </si>
  <si>
    <t>PATH</t>
  </si>
  <si>
    <t>PETERSON</t>
  </si>
  <si>
    <t>PILGE</t>
  </si>
  <si>
    <t>RAMIREZ</t>
  </si>
  <si>
    <t>REA</t>
  </si>
  <si>
    <t>ROBINS</t>
  </si>
  <si>
    <t>ROCK</t>
  </si>
  <si>
    <t>SERNA</t>
  </si>
  <si>
    <t>TORRES</t>
  </si>
  <si>
    <t>VALENCIA SERRANO</t>
  </si>
  <si>
    <t>WHITE</t>
  </si>
  <si>
    <t>F</t>
  </si>
  <si>
    <t>M</t>
  </si>
  <si>
    <t>Address</t>
  </si>
  <si>
    <t>CMA Establish Date</t>
  </si>
  <si>
    <t>Age at Open</t>
  </si>
  <si>
    <t>Card Type</t>
  </si>
  <si>
    <t>Visa Platinum</t>
  </si>
  <si>
    <t>Visa Signature Max Cash Preferred</t>
  </si>
  <si>
    <t>Visa Signature Everyday Rewards</t>
  </si>
  <si>
    <t>Secured Visa</t>
  </si>
  <si>
    <t>SOQUEL</t>
  </si>
  <si>
    <t>CAPITOLA</t>
  </si>
  <si>
    <t>Balance of Deposits</t>
  </si>
  <si>
    <t># of Deposit Accounts</t>
  </si>
  <si>
    <t># of Credit Cards</t>
  </si>
  <si>
    <t>Yrs with Bank at Open</t>
  </si>
  <si>
    <t>SANTA CRUZ</t>
  </si>
  <si>
    <t>FREEDOM</t>
  </si>
  <si>
    <t>WATSONVILLE</t>
  </si>
  <si>
    <t>APTOS</t>
  </si>
  <si>
    <t>SCOTTS VALLEY</t>
  </si>
  <si>
    <t>SANTA CRUZ MAIN</t>
  </si>
  <si>
    <t>EAST SANTA CRUZ</t>
  </si>
  <si>
    <t>SALINAS</t>
  </si>
  <si>
    <t>ADAMS</t>
  </si>
  <si>
    <t>LYNDA</t>
  </si>
  <si>
    <t>AGUILAR</t>
  </si>
  <si>
    <t>JORGE</t>
  </si>
  <si>
    <t>ARRISON</t>
  </si>
  <si>
    <t>CORY</t>
  </si>
  <si>
    <t>BARRETT</t>
  </si>
  <si>
    <t>PERRY</t>
  </si>
  <si>
    <t>BECKWITH</t>
  </si>
  <si>
    <t>SCOTT</t>
  </si>
  <si>
    <t>SHEREEN</t>
  </si>
  <si>
    <t>CHEA</t>
  </si>
  <si>
    <t>LINA</t>
  </si>
  <si>
    <t>CHEVALIER</t>
  </si>
  <si>
    <t>EDWARD</t>
  </si>
  <si>
    <t>CONSTABLE</t>
  </si>
  <si>
    <t>KEN</t>
  </si>
  <si>
    <t>DEMPSTER</t>
  </si>
  <si>
    <t>WILLIAM</t>
  </si>
  <si>
    <t>GARCIA ACEVEDO</t>
  </si>
  <si>
    <t>GERLACH</t>
  </si>
  <si>
    <t>JERAD</t>
  </si>
  <si>
    <t>GURLEY</t>
  </si>
  <si>
    <t>REGINA</t>
  </si>
  <si>
    <t>HOUGHTON</t>
  </si>
  <si>
    <t>KANTOR</t>
  </si>
  <si>
    <t>SHARON</t>
  </si>
  <si>
    <t>KAUPERT</t>
  </si>
  <si>
    <t>KATHRYN</t>
  </si>
  <si>
    <t>MARTINEZ OTERO</t>
  </si>
  <si>
    <t>GODO</t>
  </si>
  <si>
    <t>MARTINEZ RIVAS</t>
  </si>
  <si>
    <t>MARIA</t>
  </si>
  <si>
    <t>PICAZO</t>
  </si>
  <si>
    <t>JESUS</t>
  </si>
  <si>
    <t>PONZA</t>
  </si>
  <si>
    <t>ALICE</t>
  </si>
  <si>
    <t>RAMIREZ HERNANDEZ</t>
  </si>
  <si>
    <t>ROGERS</t>
  </si>
  <si>
    <t>SIMONPILLAI</t>
  </si>
  <si>
    <t>EVERARD</t>
  </si>
  <si>
    <t>THOMAS</t>
  </si>
  <si>
    <t>ROBERT</t>
  </si>
  <si>
    <t>USSAT</t>
  </si>
  <si>
    <t>PHILIP</t>
  </si>
  <si>
    <t>VANKEUREN</t>
  </si>
  <si>
    <t>MARY</t>
  </si>
  <si>
    <t>VELASCO</t>
  </si>
  <si>
    <t>NOEL</t>
  </si>
  <si>
    <t>WONG</t>
  </si>
  <si>
    <t>BERNICE</t>
  </si>
  <si>
    <t>YOUNG</t>
  </si>
  <si>
    <t>ALEX</t>
  </si>
  <si>
    <t>FRESNO</t>
  </si>
  <si>
    <t>WILLOW GLEN</t>
  </si>
  <si>
    <t>UNASSIGNED</t>
  </si>
  <si>
    <t>LOS GATOS</t>
  </si>
  <si>
    <t>SAN JOSE</t>
  </si>
  <si>
    <t>SARATOGA</t>
  </si>
  <si>
    <t>CustomerID</t>
  </si>
  <si>
    <t>Activation Date</t>
  </si>
  <si>
    <t>-</t>
  </si>
  <si>
    <t>(All)</t>
  </si>
  <si>
    <t>Row Labels</t>
  </si>
  <si>
    <t>Grand Total</t>
  </si>
  <si>
    <t>Column Labels</t>
  </si>
  <si>
    <t>Count of CustomerID</t>
  </si>
  <si>
    <t># Days until Act</t>
  </si>
  <si>
    <t>Age</t>
  </si>
  <si>
    <t>Mean</t>
  </si>
  <si>
    <t>St Dev</t>
  </si>
  <si>
    <t>St Error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</si>
  <si>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</si>
  <si>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</si>
  <si>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t>The table summarizes the t-distribution critical values. The rows represent the degrees of freedom, while the columns - common alphas.</t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</si>
  <si>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</si>
  <si>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inf.</t>
  </si>
  <si>
    <t>CI*</t>
  </si>
  <si>
    <t>*CI stands for confidence intervals</t>
  </si>
  <si>
    <t>Standard normal distribution</t>
  </si>
  <si>
    <t>z-table</t>
  </si>
  <si>
    <t>The table summarizes the standard normal distribution critical values and the corresponding (1-α)</t>
  </si>
  <si>
    <t>z</t>
  </si>
  <si>
    <t>Confidence Interval</t>
  </si>
  <si>
    <t>Low</t>
  </si>
  <si>
    <t>High</t>
  </si>
  <si>
    <t>Median</t>
  </si>
  <si>
    <t>Mode</t>
  </si>
  <si>
    <t>Variance</t>
  </si>
  <si>
    <t>Max</t>
  </si>
  <si>
    <t>Min</t>
  </si>
  <si>
    <t>Skewness</t>
  </si>
  <si>
    <t>Rounded Age</t>
  </si>
  <si>
    <t>18-24</t>
  </si>
  <si>
    <t>25-34</t>
  </si>
  <si>
    <t>35-44</t>
  </si>
  <si>
    <t>45-54</t>
  </si>
  <si>
    <t>55-64</t>
  </si>
  <si>
    <t>65+</t>
  </si>
  <si>
    <t>Range</t>
  </si>
  <si>
    <t>Count</t>
  </si>
  <si>
    <t>Percentage</t>
  </si>
  <si>
    <t>CV</t>
  </si>
  <si>
    <t>Years</t>
  </si>
  <si>
    <t>Rounded Yrs with Bank</t>
  </si>
  <si>
    <t>&lt; 1 Year</t>
  </si>
  <si>
    <t>1-5</t>
  </si>
  <si>
    <t>6-10</t>
  </si>
  <si>
    <t>50+</t>
  </si>
  <si>
    <t>Sex</t>
  </si>
  <si>
    <t>21-30</t>
  </si>
  <si>
    <t>31-40</t>
  </si>
  <si>
    <t>41-50</t>
  </si>
  <si>
    <t>11-20</t>
  </si>
  <si>
    <t>Deposits</t>
  </si>
  <si>
    <t>Correlation</t>
  </si>
  <si>
    <t>Age/Years</t>
  </si>
  <si>
    <t># of acounts</t>
  </si>
  <si>
    <t># of days until Act</t>
  </si>
  <si>
    <t>Q3</t>
  </si>
  <si>
    <t>Q1</t>
  </si>
  <si>
    <t>IQR</t>
  </si>
  <si>
    <t>Upper Fence</t>
  </si>
  <si>
    <t>Lower Fence</t>
  </si>
  <si>
    <t>T-Score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</si>
  <si>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: µ ≤ </t>
    </r>
    <r>
      <rPr>
        <sz val="11"/>
        <color theme="1"/>
        <rFont val="Calibri"/>
        <family val="2"/>
        <scheme val="minor"/>
      </rPr>
      <t>63</t>
    </r>
  </si>
  <si>
    <r>
      <t>H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: µ &gt; 63</t>
    </r>
  </si>
  <si>
    <t>P-Value</t>
  </si>
  <si>
    <t>Critical Value</t>
  </si>
  <si>
    <t>Null Hypothesis</t>
  </si>
  <si>
    <t>Alt Hypothesis</t>
  </si>
  <si>
    <r>
      <rPr>
        <sz val="11"/>
        <color theme="1"/>
        <rFont val="Calibri"/>
        <family val="2"/>
      </rPr>
      <t>H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: µ ≤ 5</t>
    </r>
  </si>
  <si>
    <r>
      <t>H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: µ &gt;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</si>
</sst>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mm/dd/yy;@"/>
    <numFmt numFmtId="165" formatCode="00"/>
    <numFmt numFmtId="166" formatCode="00.00"/>
    <numFmt numFmtId="167" formatCode="0.000"/>
    <numFmt numFmtId="168" formatCode="0.0"/>
    <numFmt numFmtId="169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medium">
        <color rgb="FF002060"/>
      </right>
      <top/>
      <bottom style="medium">
        <color rgb="FF002060"/>
      </bottom>
      <diagonal/>
    </border>
    <border>
      <left/>
      <right style="medium">
        <color rgb="FF002060"/>
      </right>
      <top/>
      <bottom/>
      <diagonal/>
    </border>
    <border>
      <left/>
      <right style="medium">
        <color rgb="FF002060"/>
      </right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8">
    <xf numFmtId="0" fontId="0" fillId="0" borderId="0" xfId="0"/>
    <xf numFmtId="0" fontId="0" fillId="0" borderId="0" xfId="0" applyFill="1" applyBorder="1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44" fontId="0" fillId="0" borderId="0" xfId="1" applyFont="1" applyBorder="1"/>
    <xf numFmtId="0" fontId="0" fillId="0" borderId="0" xfId="0" applyBorder="1" applyAlignment="1">
      <alignment horizontal="left"/>
    </xf>
    <xf numFmtId="44" fontId="0" fillId="0" borderId="0" xfId="1" applyFont="1" applyFill="1" applyBorder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center"/>
    </xf>
    <xf numFmtId="44" fontId="0" fillId="0" borderId="2" xfId="1" applyFont="1" applyBorder="1"/>
    <xf numFmtId="0" fontId="0" fillId="0" borderId="3" xfId="0" applyBorder="1"/>
    <xf numFmtId="165" fontId="0" fillId="0" borderId="4" xfId="0" applyNumberFormat="1" applyBorder="1" applyAlignment="1">
      <alignment horizontal="center"/>
    </xf>
    <xf numFmtId="0" fontId="0" fillId="0" borderId="5" xfId="0" applyBorder="1"/>
    <xf numFmtId="165" fontId="0" fillId="0" borderId="6" xfId="0" applyNumberFormat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left"/>
    </xf>
    <xf numFmtId="164" fontId="0" fillId="0" borderId="7" xfId="0" applyNumberFormat="1" applyBorder="1"/>
    <xf numFmtId="164" fontId="0" fillId="0" borderId="7" xfId="0" applyNumberFormat="1" applyBorder="1" applyAlignment="1">
      <alignment horizontal="center"/>
    </xf>
    <xf numFmtId="0" fontId="0" fillId="0" borderId="8" xfId="0" applyBorder="1"/>
    <xf numFmtId="0" fontId="2" fillId="2" borderId="9" xfId="0" applyFont="1" applyFill="1" applyBorder="1" applyAlignment="1"/>
    <xf numFmtId="0" fontId="2" fillId="2" borderId="10" xfId="0" applyFont="1" applyFill="1" applyBorder="1" applyAlignment="1"/>
    <xf numFmtId="0" fontId="2" fillId="2" borderId="10" xfId="0" applyFont="1" applyFill="1" applyBorder="1"/>
    <xf numFmtId="0" fontId="2" fillId="2" borderId="11" xfId="0" applyFont="1" applyFill="1" applyBorder="1"/>
    <xf numFmtId="165" fontId="0" fillId="0" borderId="2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" fontId="0" fillId="0" borderId="2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6" fillId="3" borderId="16" xfId="0" applyFont="1" applyFill="1" applyBorder="1"/>
    <xf numFmtId="0" fontId="6" fillId="3" borderId="17" xfId="0" applyFont="1" applyFill="1" applyBorder="1"/>
    <xf numFmtId="0" fontId="5" fillId="3" borderId="18" xfId="0" applyFont="1" applyFill="1" applyBorder="1"/>
    <xf numFmtId="167" fontId="5" fillId="3" borderId="0" xfId="0" applyNumberFormat="1" applyFont="1" applyFill="1"/>
    <xf numFmtId="0" fontId="5" fillId="3" borderId="16" xfId="0" applyFont="1" applyFill="1" applyBorder="1" applyAlignment="1">
      <alignment horizontal="right"/>
    </xf>
    <xf numFmtId="167" fontId="5" fillId="3" borderId="17" xfId="0" applyNumberFormat="1" applyFont="1" applyFill="1" applyBorder="1"/>
    <xf numFmtId="0" fontId="9" fillId="3" borderId="19" xfId="0" applyFont="1" applyFill="1" applyBorder="1"/>
    <xf numFmtId="9" fontId="5" fillId="3" borderId="20" xfId="0" applyNumberFormat="1" applyFont="1" applyFill="1" applyBorder="1"/>
    <xf numFmtId="0" fontId="7" fillId="3" borderId="0" xfId="0" applyFont="1" applyFill="1"/>
    <xf numFmtId="0" fontId="6" fillId="3" borderId="21" xfId="0" applyFont="1" applyFill="1" applyBorder="1" applyAlignment="1">
      <alignment horizontal="right"/>
    </xf>
    <xf numFmtId="168" fontId="6" fillId="3" borderId="22" xfId="0" applyNumberFormat="1" applyFont="1" applyFill="1" applyBorder="1"/>
    <xf numFmtId="169" fontId="5" fillId="3" borderId="0" xfId="0" applyNumberFormat="1" applyFont="1" applyFill="1"/>
    <xf numFmtId="168" fontId="6" fillId="3" borderId="23" xfId="0" applyNumberFormat="1" applyFont="1" applyFill="1" applyBorder="1"/>
    <xf numFmtId="169" fontId="5" fillId="3" borderId="24" xfId="0" applyNumberFormat="1" applyFont="1" applyFill="1" applyBorder="1"/>
    <xf numFmtId="168" fontId="6" fillId="3" borderId="0" xfId="0" applyNumberFormat="1" applyFont="1" applyFill="1"/>
    <xf numFmtId="0" fontId="3" fillId="2" borderId="11" xfId="0" applyFont="1" applyFill="1" applyBorder="1" applyAlignment="1">
      <alignment horizontal="center"/>
    </xf>
    <xf numFmtId="2" fontId="0" fillId="0" borderId="0" xfId="0" applyNumberFormat="1"/>
    <xf numFmtId="2" fontId="0" fillId="0" borderId="13" xfId="0" applyNumberFormat="1" applyBorder="1"/>
    <xf numFmtId="2" fontId="0" fillId="0" borderId="14" xfId="0" applyNumberFormat="1" applyBorder="1"/>
    <xf numFmtId="0" fontId="0" fillId="0" borderId="14" xfId="0" applyFill="1" applyBorder="1"/>
    <xf numFmtId="0" fontId="0" fillId="0" borderId="15" xfId="0" applyFill="1" applyBorder="1"/>
    <xf numFmtId="9" fontId="0" fillId="0" borderId="14" xfId="2" applyFont="1" applyBorder="1"/>
    <xf numFmtId="9" fontId="0" fillId="0" borderId="15" xfId="2" applyFont="1" applyBorder="1"/>
    <xf numFmtId="9" fontId="0" fillId="0" borderId="8" xfId="2" applyFont="1" applyBorder="1"/>
    <xf numFmtId="1" fontId="0" fillId="0" borderId="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9" fontId="0" fillId="0" borderId="3" xfId="2" applyFont="1" applyBorder="1"/>
    <xf numFmtId="2" fontId="0" fillId="0" borderId="2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5" xfId="0" applyNumberFormat="1" applyBorder="1"/>
    <xf numFmtId="2" fontId="0" fillId="0" borderId="14" xfId="2" applyNumberFormat="1" applyFont="1" applyBorder="1"/>
    <xf numFmtId="49" fontId="0" fillId="0" borderId="14" xfId="0" applyNumberFormat="1" applyBorder="1"/>
    <xf numFmtId="49" fontId="0" fillId="0" borderId="15" xfId="0" applyNumberFormat="1" applyBorder="1"/>
    <xf numFmtId="9" fontId="0" fillId="0" borderId="13" xfId="0" applyNumberFormat="1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0" fillId="0" borderId="15" xfId="0" applyNumberFormat="1" applyBorder="1" applyAlignment="1">
      <alignment horizontal="center"/>
    </xf>
    <xf numFmtId="0" fontId="3" fillId="2" borderId="12" xfId="0" applyFont="1" applyFill="1" applyBorder="1"/>
    <xf numFmtId="0" fontId="3" fillId="2" borderId="12" xfId="0" applyFont="1" applyFill="1" applyBorder="1" applyAlignment="1">
      <alignment horizontal="center"/>
    </xf>
    <xf numFmtId="0" fontId="3" fillId="2" borderId="9" xfId="0" applyFont="1" applyFill="1" applyBorder="1"/>
    <xf numFmtId="0" fontId="3" fillId="2" borderId="11" xfId="0" applyFont="1" applyFill="1" applyBorder="1"/>
    <xf numFmtId="44" fontId="0" fillId="0" borderId="13" xfId="1" applyFont="1" applyBorder="1"/>
    <xf numFmtId="44" fontId="0" fillId="0" borderId="14" xfId="1" applyFont="1" applyBorder="1"/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44" fontId="0" fillId="0" borderId="13" xfId="0" applyNumberFormat="1" applyBorder="1"/>
    <xf numFmtId="44" fontId="0" fillId="0" borderId="3" xfId="0" applyNumberFormat="1" applyBorder="1"/>
    <xf numFmtId="44" fontId="0" fillId="0" borderId="14" xfId="0" applyNumberFormat="1" applyBorder="1"/>
    <xf numFmtId="44" fontId="0" fillId="0" borderId="5" xfId="0" applyNumberFormat="1" applyBorder="1"/>
    <xf numFmtId="44" fontId="0" fillId="0" borderId="15" xfId="0" applyNumberFormat="1" applyBorder="1"/>
    <xf numFmtId="44" fontId="0" fillId="0" borderId="8" xfId="0" applyNumberFormat="1" applyBorder="1"/>
    <xf numFmtId="0" fontId="0" fillId="0" borderId="11" xfId="0" applyBorder="1"/>
    <xf numFmtId="0" fontId="0" fillId="0" borderId="12" xfId="0" applyBorder="1"/>
    <xf numFmtId="2" fontId="3" fillId="2" borderId="12" xfId="0" applyNumberFormat="1" applyFont="1" applyFill="1" applyBorder="1" applyAlignment="1">
      <alignment horizontal="center"/>
    </xf>
    <xf numFmtId="44" fontId="0" fillId="0" borderId="0" xfId="1" applyNumberFormat="1" applyFont="1" applyFill="1" applyBorder="1"/>
    <xf numFmtId="0" fontId="0" fillId="0" borderId="7" xfId="0" applyFill="1" applyBorder="1" applyAlignment="1">
      <alignment horizontal="center"/>
    </xf>
    <xf numFmtId="0" fontId="0" fillId="0" borderId="7" xfId="0" applyFill="1" applyBorder="1"/>
    <xf numFmtId="44" fontId="0" fillId="0" borderId="7" xfId="1" applyFont="1" applyFill="1" applyBorder="1"/>
    <xf numFmtId="1" fontId="0" fillId="0" borderId="14" xfId="0" applyNumberFormat="1" applyBorder="1"/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66" fontId="0" fillId="0" borderId="14" xfId="0" applyNumberFormat="1" applyBorder="1"/>
    <xf numFmtId="1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9" fontId="0" fillId="0" borderId="0" xfId="0" applyNumberFormat="1"/>
    <xf numFmtId="0" fontId="10" fillId="0" borderId="13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2" fontId="3" fillId="2" borderId="9" xfId="0" applyNumberFormat="1" applyFont="1" applyFill="1" applyBorder="1" applyAlignment="1">
      <alignment horizontal="center"/>
    </xf>
    <xf numFmtId="2" fontId="3" fillId="2" borderId="1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20">
    <dxf>
      <border diagonalUp="0" diagonalDown="0" outline="0">
        <left/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165" formatCode="00"/>
      <alignment horizontal="center" vertical="bottom" textRotation="0" wrapText="0" indent="0" justifyLastLine="0" shrinkToFit="0" readingOrder="0"/>
    </dxf>
    <dxf>
      <numFmt numFmtId="166" formatCode="00.00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mm/dd/yy;@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165" formatCode="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67AD3"/>
      <color rgb="FF4375E5"/>
      <color rgb="FF5399FF"/>
      <color rgb="FF0061F0"/>
      <color rgb="FFF12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tx1"/>
                </a:solidFill>
                <a:latin typeface="Harlow Solid Italic" panose="04030604020F02020D02" pitchFamily="82" charset="0"/>
              </a:rPr>
              <a:t>Percent</a:t>
            </a:r>
            <a:r>
              <a:rPr lang="en-US" b="0" baseline="0">
                <a:solidFill>
                  <a:schemeClr val="tx1"/>
                </a:solidFill>
                <a:latin typeface="Harlow Solid Italic" panose="04030604020F02020D02" pitchFamily="82" charset="0"/>
              </a:rPr>
              <a:t> Credit Card Sales by Age</a:t>
            </a:r>
            <a:endParaRPr lang="en-US" b="0">
              <a:solidFill>
                <a:schemeClr val="tx1"/>
              </a:solidFill>
              <a:latin typeface="Harlow Solid Italic" panose="04030604020F02020D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F0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629-4B8C-8B31-22BE35E363D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29-4B8C-8B31-22BE35E363D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629-4B8C-8B31-22BE35E363D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629-4B8C-8B31-22BE35E363D0}"/>
              </c:ext>
            </c:extLst>
          </c:dPt>
          <c:dPt>
            <c:idx val="4"/>
            <c:bubble3D val="0"/>
            <c:spPr>
              <a:solidFill>
                <a:schemeClr val="accent1"/>
              </a:solidFill>
              <a:ln w="19050">
                <a:solidFill>
                  <a:schemeClr val="tx1">
                    <a:alpha val="96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629-4B8C-8B31-22BE35E363D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629-4B8C-8B31-22BE35E363D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Calculations!$F$12:$F$17</c:f>
              <c:strCache>
                <c:ptCount val="6"/>
                <c:pt idx="0">
                  <c:v>18-24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65+</c:v>
                </c:pt>
              </c:strCache>
            </c:strRef>
          </c:cat>
          <c:val>
            <c:numRef>
              <c:f>Calculations!$H$12:$H$17</c:f>
              <c:numCache>
                <c:formatCode>0%</c:formatCode>
                <c:ptCount val="6"/>
                <c:pt idx="0">
                  <c:v>1.5384615384615385E-2</c:v>
                </c:pt>
                <c:pt idx="1">
                  <c:v>6.1538461538461542E-2</c:v>
                </c:pt>
                <c:pt idx="2">
                  <c:v>0.15384615384615385</c:v>
                </c:pt>
                <c:pt idx="3">
                  <c:v>0.16923076923076924</c:v>
                </c:pt>
                <c:pt idx="4">
                  <c:v>0.29230769230769232</c:v>
                </c:pt>
                <c:pt idx="5">
                  <c:v>0.30769230769230771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629-4B8C-8B31-22BE35E363D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50000"/>
        <a:lumOff val="50000"/>
      </a:schemeClr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chemeClr val="tx1"/>
                </a:solidFill>
                <a:latin typeface="Harlow Solid Italic" panose="04030604020F02020D02" pitchFamily="82" charset="0"/>
              </a:rPr>
              <a:t>Ratio</a:t>
            </a:r>
            <a:r>
              <a:rPr lang="en-US" b="0" baseline="0">
                <a:solidFill>
                  <a:schemeClr val="tx1"/>
                </a:solidFill>
                <a:latin typeface="Harlow Solid Italic" panose="04030604020F02020D02" pitchFamily="82" charset="0"/>
              </a:rPr>
              <a:t> of Male to Female</a:t>
            </a:r>
            <a:endParaRPr lang="en-US" b="0">
              <a:solidFill>
                <a:schemeClr val="tx1"/>
              </a:solidFill>
              <a:latin typeface="Harlow Solid Italic" panose="04030604020F02020D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solidFill>
              <a:srgbClr val="4375E5"/>
            </a:solidFill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rgbClr val="4375E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32-478F-B911-7203AD812879}"/>
              </c:ext>
            </c:extLst>
          </c:dPt>
          <c:dPt>
            <c:idx val="1"/>
            <c:bubble3D val="0"/>
            <c:spPr>
              <a:solidFill>
                <a:srgbClr val="F67AD3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32-478F-B911-7203AD81287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Calculations!$M$6:$M$7</c:f>
              <c:strCache>
                <c:ptCount val="2"/>
                <c:pt idx="0">
                  <c:v>M</c:v>
                </c:pt>
                <c:pt idx="1">
                  <c:v>F</c:v>
                </c:pt>
              </c:strCache>
            </c:strRef>
          </c:cat>
          <c:val>
            <c:numRef>
              <c:f>Calculations!$O$6:$O$7</c:f>
              <c:numCache>
                <c:formatCode>0%</c:formatCode>
                <c:ptCount val="2"/>
                <c:pt idx="0">
                  <c:v>0.6</c:v>
                </c:pt>
                <c:pt idx="1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32-478F-B911-7203AD812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4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50000"/>
        <a:lumOff val="5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Harlow Solid Italic" panose="04030604020F02020D02" pitchFamily="82" charset="0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  <a:latin typeface="Harlow Solid Italic" panose="04030604020F02020D02" pitchFamily="82" charset="0"/>
              </a:rPr>
              <a:t>Percent</a:t>
            </a:r>
            <a:r>
              <a:rPr lang="en-US" baseline="0">
                <a:solidFill>
                  <a:schemeClr val="tx1"/>
                </a:solidFill>
                <a:latin typeface="Harlow Solid Italic" panose="04030604020F02020D02" pitchFamily="82" charset="0"/>
              </a:rPr>
              <a:t> Credit Card Sales by Tenure with Bank</a:t>
            </a:r>
            <a:endParaRPr lang="en-US">
              <a:solidFill>
                <a:schemeClr val="tx1"/>
              </a:solidFill>
              <a:latin typeface="Harlow Solid Italic" panose="04030604020F02020D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Harlow Solid Italic" panose="04030604020F02020D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1A3-4663-BDCF-354F4B66A62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1A3-4663-BDCF-354F4B66A62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1A3-4663-BDCF-354F4B66A62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1A3-4663-BDCF-354F4B66A62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1A3-4663-BDCF-354F4B66A62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1A3-4663-BDCF-354F4B66A62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1A3-4663-BDCF-354F4B66A62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1A3-4663-BDCF-354F4B66A62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Calculations!$F$30:$F$37</c:f>
              <c:strCache>
                <c:ptCount val="8"/>
                <c:pt idx="0">
                  <c:v>&lt; 1 Year</c:v>
                </c:pt>
                <c:pt idx="1">
                  <c:v>1-5</c:v>
                </c:pt>
                <c:pt idx="2">
                  <c:v>6-10</c:v>
                </c:pt>
                <c:pt idx="3">
                  <c:v>11-20</c:v>
                </c:pt>
                <c:pt idx="4">
                  <c:v>21-30</c:v>
                </c:pt>
                <c:pt idx="5">
                  <c:v>31-40</c:v>
                </c:pt>
                <c:pt idx="6">
                  <c:v>41-50</c:v>
                </c:pt>
                <c:pt idx="7">
                  <c:v>50+</c:v>
                </c:pt>
              </c:strCache>
            </c:strRef>
          </c:cat>
          <c:val>
            <c:numRef>
              <c:f>Calculations!$H$30:$H$37</c:f>
              <c:numCache>
                <c:formatCode>0%</c:formatCode>
                <c:ptCount val="8"/>
                <c:pt idx="0">
                  <c:v>0.1076923076923077</c:v>
                </c:pt>
                <c:pt idx="1">
                  <c:v>0.13846153846153847</c:v>
                </c:pt>
                <c:pt idx="2">
                  <c:v>0.16923076923076924</c:v>
                </c:pt>
                <c:pt idx="3">
                  <c:v>0.24615384615384617</c:v>
                </c:pt>
                <c:pt idx="4">
                  <c:v>0.16923076923076924</c:v>
                </c:pt>
                <c:pt idx="5">
                  <c:v>0.12307692307692308</c:v>
                </c:pt>
                <c:pt idx="6">
                  <c:v>3.0769230769230771E-2</c:v>
                </c:pt>
                <c:pt idx="7">
                  <c:v>1.5384615384615385E-2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1A3-4663-BDCF-354F4B66A6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50000"/>
        <a:lumOff val="5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/>
                </a:solidFill>
                <a:latin typeface="Harlow Solid Italic" panose="04030604020F02020D02" pitchFamily="82" charset="0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  <a:latin typeface="Harlow Solid Italic" panose="04030604020F02020D02" pitchFamily="82" charset="0"/>
              </a:rPr>
              <a:t>Age Plotted against Years with Bank</a:t>
            </a:r>
            <a:endParaRPr lang="en-US">
              <a:solidFill>
                <a:schemeClr val="tx1"/>
              </a:solidFill>
              <a:latin typeface="Harlow Solid Italic" panose="04030604020F02020D02" pitchFamily="82" charset="0"/>
            </a:endParaRPr>
          </a:p>
        </c:rich>
      </c:tx>
      <c:layout>
        <c:manualLayout>
          <c:xMode val="edge"/>
          <c:yMode val="edge"/>
          <c:x val="0.22351377952755902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/>
              </a:solidFill>
              <a:latin typeface="Harlow Solid Italic" panose="04030604020F02020D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DATA!$H$3:$H$67</c:f>
              <c:numCache>
                <c:formatCode>0</c:formatCode>
                <c:ptCount val="65"/>
                <c:pt idx="0">
                  <c:v>54</c:v>
                </c:pt>
                <c:pt idx="1">
                  <c:v>81</c:v>
                </c:pt>
                <c:pt idx="2">
                  <c:v>53</c:v>
                </c:pt>
                <c:pt idx="3">
                  <c:v>61</c:v>
                </c:pt>
                <c:pt idx="4">
                  <c:v>79</c:v>
                </c:pt>
                <c:pt idx="5">
                  <c:v>51</c:v>
                </c:pt>
                <c:pt idx="6">
                  <c:v>36</c:v>
                </c:pt>
                <c:pt idx="7">
                  <c:v>21</c:v>
                </c:pt>
                <c:pt idx="8">
                  <c:v>63</c:v>
                </c:pt>
                <c:pt idx="9">
                  <c:v>73</c:v>
                </c:pt>
                <c:pt idx="10">
                  <c:v>82</c:v>
                </c:pt>
                <c:pt idx="11">
                  <c:v>50</c:v>
                </c:pt>
                <c:pt idx="12">
                  <c:v>67</c:v>
                </c:pt>
                <c:pt idx="13">
                  <c:v>73</c:v>
                </c:pt>
                <c:pt idx="14">
                  <c:v>59</c:v>
                </c:pt>
                <c:pt idx="15">
                  <c:v>64</c:v>
                </c:pt>
                <c:pt idx="16">
                  <c:v>82</c:v>
                </c:pt>
                <c:pt idx="17">
                  <c:v>39</c:v>
                </c:pt>
                <c:pt idx="18">
                  <c:v>86</c:v>
                </c:pt>
                <c:pt idx="19">
                  <c:v>75</c:v>
                </c:pt>
                <c:pt idx="20">
                  <c:v>63</c:v>
                </c:pt>
                <c:pt idx="21">
                  <c:v>65</c:v>
                </c:pt>
                <c:pt idx="22">
                  <c:v>59</c:v>
                </c:pt>
                <c:pt idx="23">
                  <c:v>69</c:v>
                </c:pt>
                <c:pt idx="24">
                  <c:v>68</c:v>
                </c:pt>
                <c:pt idx="25">
                  <c:v>53</c:v>
                </c:pt>
                <c:pt idx="26">
                  <c:v>60</c:v>
                </c:pt>
                <c:pt idx="27">
                  <c:v>67</c:v>
                </c:pt>
                <c:pt idx="28">
                  <c:v>58</c:v>
                </c:pt>
                <c:pt idx="29">
                  <c:v>47</c:v>
                </c:pt>
                <c:pt idx="30">
                  <c:v>57</c:v>
                </c:pt>
                <c:pt idx="31">
                  <c:v>67</c:v>
                </c:pt>
                <c:pt idx="32">
                  <c:v>46</c:v>
                </c:pt>
                <c:pt idx="33">
                  <c:v>52</c:v>
                </c:pt>
                <c:pt idx="34">
                  <c:v>32</c:v>
                </c:pt>
                <c:pt idx="35">
                  <c:v>58</c:v>
                </c:pt>
                <c:pt idx="36">
                  <c:v>68</c:v>
                </c:pt>
                <c:pt idx="37">
                  <c:v>65</c:v>
                </c:pt>
                <c:pt idx="38">
                  <c:v>36</c:v>
                </c:pt>
                <c:pt idx="39">
                  <c:v>55</c:v>
                </c:pt>
                <c:pt idx="40">
                  <c:v>40</c:v>
                </c:pt>
                <c:pt idx="41">
                  <c:v>55</c:v>
                </c:pt>
                <c:pt idx="42">
                  <c:v>34</c:v>
                </c:pt>
                <c:pt idx="43">
                  <c:v>66</c:v>
                </c:pt>
                <c:pt idx="44">
                  <c:v>58</c:v>
                </c:pt>
                <c:pt idx="45">
                  <c:v>31</c:v>
                </c:pt>
                <c:pt idx="46">
                  <c:v>58</c:v>
                </c:pt>
                <c:pt idx="47">
                  <c:v>35</c:v>
                </c:pt>
                <c:pt idx="48">
                  <c:v>34</c:v>
                </c:pt>
                <c:pt idx="49">
                  <c:v>38</c:v>
                </c:pt>
                <c:pt idx="50">
                  <c:v>67</c:v>
                </c:pt>
                <c:pt idx="51">
                  <c:v>62</c:v>
                </c:pt>
                <c:pt idx="52">
                  <c:v>42</c:v>
                </c:pt>
                <c:pt idx="53">
                  <c:v>57</c:v>
                </c:pt>
                <c:pt idx="54">
                  <c:v>50</c:v>
                </c:pt>
                <c:pt idx="55">
                  <c:v>85</c:v>
                </c:pt>
                <c:pt idx="56">
                  <c:v>40</c:v>
                </c:pt>
                <c:pt idx="57">
                  <c:v>54</c:v>
                </c:pt>
                <c:pt idx="58">
                  <c:v>59</c:v>
                </c:pt>
                <c:pt idx="59">
                  <c:v>38</c:v>
                </c:pt>
                <c:pt idx="60">
                  <c:v>56</c:v>
                </c:pt>
                <c:pt idx="61">
                  <c:v>58</c:v>
                </c:pt>
                <c:pt idx="62">
                  <c:v>46</c:v>
                </c:pt>
                <c:pt idx="63">
                  <c:v>71</c:v>
                </c:pt>
                <c:pt idx="64">
                  <c:v>36</c:v>
                </c:pt>
              </c:numCache>
            </c:numRef>
          </c:xVal>
          <c:yVal>
            <c:numRef>
              <c:f>DATA!$N$3:$N$67</c:f>
              <c:numCache>
                <c:formatCode>00</c:formatCode>
                <c:ptCount val="65"/>
                <c:pt idx="0">
                  <c:v>0</c:v>
                </c:pt>
                <c:pt idx="1">
                  <c:v>47</c:v>
                </c:pt>
                <c:pt idx="2">
                  <c:v>0</c:v>
                </c:pt>
                <c:pt idx="3">
                  <c:v>4</c:v>
                </c:pt>
                <c:pt idx="4">
                  <c:v>26</c:v>
                </c:pt>
                <c:pt idx="5">
                  <c:v>4</c:v>
                </c:pt>
                <c:pt idx="6">
                  <c:v>11</c:v>
                </c:pt>
                <c:pt idx="7">
                  <c:v>5</c:v>
                </c:pt>
                <c:pt idx="8">
                  <c:v>32</c:v>
                </c:pt>
                <c:pt idx="9">
                  <c:v>15</c:v>
                </c:pt>
                <c:pt idx="10">
                  <c:v>29</c:v>
                </c:pt>
                <c:pt idx="11">
                  <c:v>6</c:v>
                </c:pt>
                <c:pt idx="12">
                  <c:v>34</c:v>
                </c:pt>
                <c:pt idx="13">
                  <c:v>8</c:v>
                </c:pt>
                <c:pt idx="14">
                  <c:v>29</c:v>
                </c:pt>
                <c:pt idx="15">
                  <c:v>14</c:v>
                </c:pt>
                <c:pt idx="16">
                  <c:v>27</c:v>
                </c:pt>
                <c:pt idx="17">
                  <c:v>6</c:v>
                </c:pt>
                <c:pt idx="18">
                  <c:v>52</c:v>
                </c:pt>
                <c:pt idx="19">
                  <c:v>13</c:v>
                </c:pt>
                <c:pt idx="20">
                  <c:v>27</c:v>
                </c:pt>
                <c:pt idx="21">
                  <c:v>0</c:v>
                </c:pt>
                <c:pt idx="22">
                  <c:v>31</c:v>
                </c:pt>
                <c:pt idx="23">
                  <c:v>37</c:v>
                </c:pt>
                <c:pt idx="24">
                  <c:v>37</c:v>
                </c:pt>
                <c:pt idx="25">
                  <c:v>28</c:v>
                </c:pt>
                <c:pt idx="26">
                  <c:v>41</c:v>
                </c:pt>
                <c:pt idx="27">
                  <c:v>7</c:v>
                </c:pt>
                <c:pt idx="28">
                  <c:v>31</c:v>
                </c:pt>
                <c:pt idx="29">
                  <c:v>16</c:v>
                </c:pt>
                <c:pt idx="30">
                  <c:v>17</c:v>
                </c:pt>
                <c:pt idx="31">
                  <c:v>0</c:v>
                </c:pt>
                <c:pt idx="32">
                  <c:v>13</c:v>
                </c:pt>
                <c:pt idx="33">
                  <c:v>14</c:v>
                </c:pt>
                <c:pt idx="34">
                  <c:v>8</c:v>
                </c:pt>
                <c:pt idx="35">
                  <c:v>8</c:v>
                </c:pt>
                <c:pt idx="36">
                  <c:v>36</c:v>
                </c:pt>
                <c:pt idx="37">
                  <c:v>1</c:v>
                </c:pt>
                <c:pt idx="38">
                  <c:v>2</c:v>
                </c:pt>
                <c:pt idx="39">
                  <c:v>20</c:v>
                </c:pt>
                <c:pt idx="40">
                  <c:v>7</c:v>
                </c:pt>
                <c:pt idx="41">
                  <c:v>22</c:v>
                </c:pt>
                <c:pt idx="42">
                  <c:v>13</c:v>
                </c:pt>
                <c:pt idx="43">
                  <c:v>24</c:v>
                </c:pt>
                <c:pt idx="44">
                  <c:v>11</c:v>
                </c:pt>
                <c:pt idx="45">
                  <c:v>13</c:v>
                </c:pt>
                <c:pt idx="46">
                  <c:v>29</c:v>
                </c:pt>
                <c:pt idx="47">
                  <c:v>16</c:v>
                </c:pt>
                <c:pt idx="48">
                  <c:v>0</c:v>
                </c:pt>
                <c:pt idx="49">
                  <c:v>19</c:v>
                </c:pt>
                <c:pt idx="50">
                  <c:v>2</c:v>
                </c:pt>
                <c:pt idx="51">
                  <c:v>0</c:v>
                </c:pt>
                <c:pt idx="52">
                  <c:v>7</c:v>
                </c:pt>
                <c:pt idx="53">
                  <c:v>2</c:v>
                </c:pt>
                <c:pt idx="54">
                  <c:v>27</c:v>
                </c:pt>
                <c:pt idx="55">
                  <c:v>33</c:v>
                </c:pt>
                <c:pt idx="56">
                  <c:v>6</c:v>
                </c:pt>
                <c:pt idx="57">
                  <c:v>13</c:v>
                </c:pt>
                <c:pt idx="58">
                  <c:v>29</c:v>
                </c:pt>
                <c:pt idx="59">
                  <c:v>4</c:v>
                </c:pt>
                <c:pt idx="60">
                  <c:v>3</c:v>
                </c:pt>
                <c:pt idx="61">
                  <c:v>0</c:v>
                </c:pt>
                <c:pt idx="62">
                  <c:v>8</c:v>
                </c:pt>
                <c:pt idx="63">
                  <c:v>10</c:v>
                </c:pt>
                <c:pt idx="64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6-46A2-BE31-A9A884741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519256"/>
        <c:axId val="769932272"/>
      </c:scatterChart>
      <c:valAx>
        <c:axId val="591519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Age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in Yrs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9932272"/>
        <c:crosses val="autoZero"/>
        <c:crossBetween val="midCat"/>
      </c:valAx>
      <c:valAx>
        <c:axId val="76993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Yrs</a:t>
                </a:r>
                <a:r>
                  <a:rPr lang="en-US" sz="1100" baseline="0">
                    <a:solidFill>
                      <a:schemeClr val="tx1"/>
                    </a:solidFill>
                  </a:rPr>
                  <a:t> with Bank</a:t>
                </a:r>
                <a:endParaRPr lang="en-US" sz="1100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519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50000"/>
        <a:lumOff val="5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 Card Analytics.xlsx]PivotTable!PivotTable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PivotTable!$B$7:$B$8</c:f>
              <c:strCache>
                <c:ptCount val="1"/>
                <c:pt idx="0">
                  <c:v>APTOS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PivotTable!$B$9:$B$13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9B-4302-8CCE-9F89CA901C93}"/>
            </c:ext>
          </c:extLst>
        </c:ser>
        <c:ser>
          <c:idx val="1"/>
          <c:order val="1"/>
          <c:tx>
            <c:strRef>
              <c:f>PivotTable!$C$7:$C$8</c:f>
              <c:strCache>
                <c:ptCount val="1"/>
                <c:pt idx="0">
                  <c:v>CAPITOLA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PivotTable!$C$9:$C$13</c:f>
              <c:numCache>
                <c:formatCode>General</c:formatCode>
                <c:ptCount val="4"/>
                <c:pt idx="0">
                  <c:v>2</c:v>
                </c:pt>
                <c:pt idx="1">
                  <c:v>28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9B-4302-8CCE-9F89CA901C93}"/>
            </c:ext>
          </c:extLst>
        </c:ser>
        <c:ser>
          <c:idx val="2"/>
          <c:order val="2"/>
          <c:tx>
            <c:strRef>
              <c:f>PivotTable!$D$7:$D$8</c:f>
              <c:strCache>
                <c:ptCount val="1"/>
                <c:pt idx="0">
                  <c:v>EAST SANTA CRUZ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PivotTable!$D$9:$D$13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9B-4302-8CCE-9F89CA901C93}"/>
            </c:ext>
          </c:extLst>
        </c:ser>
        <c:ser>
          <c:idx val="3"/>
          <c:order val="3"/>
          <c:tx>
            <c:strRef>
              <c:f>PivotTable!$E$7:$E$8</c:f>
              <c:strCache>
                <c:ptCount val="1"/>
                <c:pt idx="0">
                  <c:v>SALINAS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PivotTable!$E$9:$E$13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9B-4302-8CCE-9F89CA901C93}"/>
            </c:ext>
          </c:extLst>
        </c:ser>
        <c:ser>
          <c:idx val="4"/>
          <c:order val="4"/>
          <c:tx>
            <c:strRef>
              <c:f>PivotTable!$F$7:$F$8</c:f>
              <c:strCache>
                <c:ptCount val="1"/>
                <c:pt idx="0">
                  <c:v>SANTA CRUZ MAIN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PivotTable!$F$9:$F$13</c:f>
              <c:numCache>
                <c:formatCode>General</c:formatCode>
                <c:ptCount val="4"/>
                <c:pt idx="0">
                  <c:v>3</c:v>
                </c:pt>
                <c:pt idx="1">
                  <c:v>9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9B-4302-8CCE-9F89CA901C93}"/>
            </c:ext>
          </c:extLst>
        </c:ser>
        <c:ser>
          <c:idx val="5"/>
          <c:order val="5"/>
          <c:tx>
            <c:strRef>
              <c:f>PivotTable!$G$7:$G$8</c:f>
              <c:strCache>
                <c:ptCount val="1"/>
                <c:pt idx="0">
                  <c:v>SARATOGA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PivotTable!$G$9:$G$13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9B-4302-8CCE-9F89CA901C93}"/>
            </c:ext>
          </c:extLst>
        </c:ser>
        <c:ser>
          <c:idx val="6"/>
          <c:order val="6"/>
          <c:tx>
            <c:strRef>
              <c:f>PivotTable!$H$7:$H$8</c:f>
              <c:strCache>
                <c:ptCount val="1"/>
                <c:pt idx="0">
                  <c:v>SCOTTS VALLEY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PivotTable!$H$9:$H$13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59B-4302-8CCE-9F89CA901C93}"/>
            </c:ext>
          </c:extLst>
        </c:ser>
        <c:ser>
          <c:idx val="7"/>
          <c:order val="7"/>
          <c:tx>
            <c:strRef>
              <c:f>PivotTable!$I$7:$I$8</c:f>
              <c:strCache>
                <c:ptCount val="1"/>
                <c:pt idx="0">
                  <c:v>UNASSIGNED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PivotTable!$I$9:$I$13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59B-4302-8CCE-9F89CA901C93}"/>
            </c:ext>
          </c:extLst>
        </c:ser>
        <c:ser>
          <c:idx val="8"/>
          <c:order val="8"/>
          <c:tx>
            <c:strRef>
              <c:f>PivotTable!$J$7:$J$8</c:f>
              <c:strCache>
                <c:ptCount val="1"/>
                <c:pt idx="0">
                  <c:v>WATSONVILLE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PivotTable!$J$9:$J$13</c:f>
              <c:numCache>
                <c:formatCode>General</c:formatCode>
                <c:ptCount val="4"/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59B-4302-8CCE-9F89CA901C93}"/>
            </c:ext>
          </c:extLst>
        </c:ser>
        <c:ser>
          <c:idx val="9"/>
          <c:order val="9"/>
          <c:tx>
            <c:strRef>
              <c:f>PivotTable!$K$7:$K$8</c:f>
              <c:strCache>
                <c:ptCount val="1"/>
                <c:pt idx="0">
                  <c:v>WILLOW GLEN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PivotTable!$K$9:$K$13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59B-4302-8CCE-9F89CA901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7204424"/>
        <c:axId val="307201472"/>
      </c:barChart>
      <c:catAx>
        <c:axId val="307204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01472"/>
        <c:crosses val="autoZero"/>
        <c:auto val="1"/>
        <c:lblAlgn val="ctr"/>
        <c:lblOffset val="100"/>
        <c:noMultiLvlLbl val="0"/>
      </c:catAx>
      <c:valAx>
        <c:axId val="3072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0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522126092263152"/>
          <c:y val="0.11110928842228054"/>
          <c:w val="0.23831783372757417"/>
          <c:h val="0.83694553805774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50000"/>
        <a:lumOff val="5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[Credit Card Analytics.xlsx]PivotTable!PivotTable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PivotTable!$B$7:$B$8</c:f>
              <c:strCache>
                <c:ptCount val="1"/>
                <c:pt idx="0">
                  <c:v>APTOS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PivotTable!$B$9:$B$13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B2-4266-9DED-6677C3496E31}"/>
            </c:ext>
          </c:extLst>
        </c:ser>
        <c:ser>
          <c:idx val="1"/>
          <c:order val="1"/>
          <c:tx>
            <c:strRef>
              <c:f>PivotTable!$C$7:$C$8</c:f>
              <c:strCache>
                <c:ptCount val="1"/>
                <c:pt idx="0">
                  <c:v>CAPITOLA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PivotTable!$C$9:$C$13</c:f>
              <c:numCache>
                <c:formatCode>General</c:formatCode>
                <c:ptCount val="4"/>
                <c:pt idx="0">
                  <c:v>2</c:v>
                </c:pt>
                <c:pt idx="1">
                  <c:v>28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CFB2-4266-9DED-6677C3496E31}"/>
            </c:ext>
          </c:extLst>
        </c:ser>
        <c:ser>
          <c:idx val="2"/>
          <c:order val="2"/>
          <c:tx>
            <c:strRef>
              <c:f>PivotTable!$D$7:$D$8</c:f>
              <c:strCache>
                <c:ptCount val="1"/>
                <c:pt idx="0">
                  <c:v>EAST SANTA CRUZ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PivotTable!$D$9:$D$13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CFB2-4266-9DED-6677C3496E31}"/>
            </c:ext>
          </c:extLst>
        </c:ser>
        <c:ser>
          <c:idx val="3"/>
          <c:order val="3"/>
          <c:tx>
            <c:strRef>
              <c:f>PivotTable!$E$7:$E$8</c:f>
              <c:strCache>
                <c:ptCount val="1"/>
                <c:pt idx="0">
                  <c:v>SALINAS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PivotTable!$E$9:$E$13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CFB2-4266-9DED-6677C3496E31}"/>
            </c:ext>
          </c:extLst>
        </c:ser>
        <c:ser>
          <c:idx val="4"/>
          <c:order val="4"/>
          <c:tx>
            <c:strRef>
              <c:f>PivotTable!$F$7:$F$8</c:f>
              <c:strCache>
                <c:ptCount val="1"/>
                <c:pt idx="0">
                  <c:v>SANTA CRUZ MAIN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PivotTable!$F$9:$F$13</c:f>
              <c:numCache>
                <c:formatCode>General</c:formatCode>
                <c:ptCount val="4"/>
                <c:pt idx="0">
                  <c:v>3</c:v>
                </c:pt>
                <c:pt idx="1">
                  <c:v>9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CFB2-4266-9DED-6677C3496E31}"/>
            </c:ext>
          </c:extLst>
        </c:ser>
        <c:ser>
          <c:idx val="5"/>
          <c:order val="5"/>
          <c:tx>
            <c:strRef>
              <c:f>PivotTable!$G$7:$G$8</c:f>
              <c:strCache>
                <c:ptCount val="1"/>
                <c:pt idx="0">
                  <c:v>SARATOGA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PivotTable!$G$9:$G$13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CFB2-4266-9DED-6677C3496E31}"/>
            </c:ext>
          </c:extLst>
        </c:ser>
        <c:ser>
          <c:idx val="6"/>
          <c:order val="6"/>
          <c:tx>
            <c:strRef>
              <c:f>PivotTable!$H$7:$H$8</c:f>
              <c:strCache>
                <c:ptCount val="1"/>
                <c:pt idx="0">
                  <c:v>SCOTTS VALLEY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PivotTable!$H$9:$H$13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CFB2-4266-9DED-6677C3496E31}"/>
            </c:ext>
          </c:extLst>
        </c:ser>
        <c:ser>
          <c:idx val="7"/>
          <c:order val="7"/>
          <c:tx>
            <c:strRef>
              <c:f>PivotTable!$I$7:$I$8</c:f>
              <c:strCache>
                <c:ptCount val="1"/>
                <c:pt idx="0">
                  <c:v>UNASSIGNED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PivotTable!$I$9:$I$13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CFB2-4266-9DED-6677C3496E31}"/>
            </c:ext>
          </c:extLst>
        </c:ser>
        <c:ser>
          <c:idx val="8"/>
          <c:order val="8"/>
          <c:tx>
            <c:strRef>
              <c:f>PivotTable!$J$7:$J$8</c:f>
              <c:strCache>
                <c:ptCount val="1"/>
                <c:pt idx="0">
                  <c:v>WATSONVILLE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PivotTable!$J$9:$J$13</c:f>
              <c:numCache>
                <c:formatCode>General</c:formatCode>
                <c:ptCount val="4"/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CFB2-4266-9DED-6677C3496E31}"/>
            </c:ext>
          </c:extLst>
        </c:ser>
        <c:ser>
          <c:idx val="9"/>
          <c:order val="9"/>
          <c:tx>
            <c:strRef>
              <c:f>PivotTable!$K$7:$K$8</c:f>
              <c:strCache>
                <c:ptCount val="1"/>
                <c:pt idx="0">
                  <c:v>WILLOW GLEN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PivotTable!$A$9:$A$13</c:f>
              <c:strCache>
                <c:ptCount val="4"/>
                <c:pt idx="0">
                  <c:v>Secured Visa</c:v>
                </c:pt>
                <c:pt idx="1">
                  <c:v>Visa Platinum</c:v>
                </c:pt>
                <c:pt idx="2">
                  <c:v>Visa Signature Everyday Rewards</c:v>
                </c:pt>
                <c:pt idx="3">
                  <c:v>Visa Signature Max Cash Preferred</c:v>
                </c:pt>
              </c:strCache>
            </c:strRef>
          </c:cat>
          <c:val>
            <c:numRef>
              <c:f>PivotTable!$K$9:$K$13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CFB2-4266-9DED-6677C3496E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07204424"/>
        <c:axId val="307201472"/>
      </c:barChart>
      <c:catAx>
        <c:axId val="307204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01472"/>
        <c:crosses val="autoZero"/>
        <c:auto val="1"/>
        <c:lblAlgn val="ctr"/>
        <c:lblOffset val="100"/>
        <c:noMultiLvlLbl val="0"/>
      </c:catAx>
      <c:valAx>
        <c:axId val="30720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204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522126092263152"/>
          <c:y val="0.11110928842228054"/>
          <c:w val="0.23831783372757417"/>
          <c:h val="0.83694553805774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50000"/>
        <a:lumOff val="50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Distribution of Ages</cx:v>
        </cx:txData>
      </cx:tx>
      <cx:spPr>
        <a:solidFill>
          <a:schemeClr val="tx1">
            <a:lumMod val="50000"/>
            <a:lumOff val="50000"/>
          </a:schemeClr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tx1"/>
              </a:solidFill>
              <a:latin typeface="Harlow Solid Italic" panose="04030604020F02020D02" pitchFamily="82" charset="0"/>
            </a:rPr>
            <a:t>Distribution of Ages</a:t>
          </a:r>
        </a:p>
      </cx:txPr>
    </cx:title>
    <cx:plotArea>
      <cx:plotAreaRegion>
        <cx:plotSurface>
          <cx:spPr>
            <a:solidFill>
              <a:schemeClr val="tx1">
                <a:lumMod val="50000"/>
                <a:lumOff val="50000"/>
              </a:schemeClr>
            </a:solidFill>
          </cx:spPr>
        </cx:plotSurface>
        <cx:series layoutId="clusteredColumn" uniqueId="{65930B06-68AB-4076-A3C9-A1B35CEE74F1}"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>
                <a:solidFill>
                  <a:schemeClr val="tx1"/>
                </a:solidFill>
              </a:defRPr>
            </a:pPr>
            <a:endParaRPr lang="en-US" sz="11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spPr>
          <a:ln w="12700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>
                <a:ln>
                  <a:noFill/>
                </a:ln>
                <a:solidFill>
                  <a:schemeClr val="tx1"/>
                </a:solidFill>
                <a:effectLst/>
              </a:defRPr>
            </a:pPr>
            <a:endParaRPr lang="en-US" sz="1100" b="0" i="0" u="none" strike="noStrike" baseline="0">
              <a:ln>
                <a:noFill/>
              </a:ln>
              <a:solidFill>
                <a:schemeClr val="tx1"/>
              </a:solidFill>
              <a:effectLst/>
              <a:latin typeface="Calibri" panose="020F0502020204030204"/>
            </a:endParaRPr>
          </a:p>
        </cx:txPr>
      </cx:axis>
    </cx:plotArea>
  </cx:chart>
  <cx:spPr>
    <a:solidFill>
      <a:schemeClr val="tx1">
        <a:lumMod val="50000"/>
        <a:lumOff val="50000"/>
      </a:schemeClr>
    </a:solidFill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Distribution of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tx1"/>
              </a:solidFill>
              <a:latin typeface="Harlow Solid Italic" panose="04030604020F02020D02" pitchFamily="82" charset="0"/>
            </a:rPr>
            <a:t>Distribution of Years</a:t>
          </a:r>
        </a:p>
      </cx:txPr>
    </cx:title>
    <cx:plotArea>
      <cx:plotAreaRegion>
        <cx:series layoutId="clusteredColumn" uniqueId="{9445C945-5CAD-4E62-902F-DC5A7DBEC0F5}"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spPr>
          <a:ln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  <cx:spPr>
    <a:solidFill>
      <a:schemeClr val="tx1">
        <a:lumMod val="50000"/>
        <a:lumOff val="50000"/>
      </a:schemeClr>
    </a:solidFill>
    <a:ln>
      <a:solidFill>
        <a:schemeClr val="tx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Balance of Deposits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Harlow Solid Italic" panose="04030604020F02020D02" pitchFamily="82" charset="0"/>
            </a:rPr>
            <a:t>Balance of Deposits</a:t>
          </a:r>
        </a:p>
      </cx:txPr>
    </cx:title>
    <cx:plotArea>
      <cx:plotAreaRegion>
        <cx:series layoutId="boxWhisker" uniqueId="{452F9BF5-58DE-4669-AE23-51A556B0064A}">
          <cx:tx>
            <cx:txData>
              <cx:f>_xlchart.v1.0</cx:f>
              <cx:v>Balance of Deposits</cx:v>
            </cx:txData>
          </cx:tx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  <cx:spPr>
    <a:solidFill>
      <a:schemeClr val="tx1">
        <a:lumMod val="50000"/>
        <a:lumOff val="50000"/>
      </a:schemeClr>
    </a:solidFill>
    <a:ln>
      <a:solidFill>
        <a:schemeClr val="tx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chart" Target="../charts/chart2.xml"/><Relationship Id="rId7" Type="http://schemas.microsoft.com/office/2014/relationships/chartEx" Target="../charts/chartEx3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</xdr:row>
      <xdr:rowOff>166687</xdr:rowOff>
    </xdr:from>
    <xdr:to>
      <xdr:col>8</xdr:col>
      <xdr:colOff>314325</xdr:colOff>
      <xdr:row>17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1">
              <a:extLst>
                <a:ext uri="{FF2B5EF4-FFF2-40B4-BE49-F238E27FC236}">
                  <a16:creationId xmlns:a16="http://schemas.microsoft.com/office/drawing/2014/main" id="{49F45692-69D2-4915-A4C0-C66E11CF27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9125" y="547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85725</xdr:colOff>
      <xdr:row>2</xdr:row>
      <xdr:rowOff>185737</xdr:rowOff>
    </xdr:from>
    <xdr:to>
      <xdr:col>16</xdr:col>
      <xdr:colOff>390525</xdr:colOff>
      <xdr:row>17</xdr:row>
      <xdr:rowOff>71437</xdr:rowOff>
    </xdr:to>
    <xdr:graphicFrame macro="">
      <xdr:nvGraphicFramePr>
        <xdr:cNvPr id="11" name="Chart 6">
          <a:extLst>
            <a:ext uri="{FF2B5EF4-FFF2-40B4-BE49-F238E27FC236}">
              <a16:creationId xmlns:a16="http://schemas.microsoft.com/office/drawing/2014/main" id="{C6C7CD64-28D3-4C2B-A7FA-AD34BE5583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18</xdr:row>
      <xdr:rowOff>109537</xdr:rowOff>
    </xdr:from>
    <xdr:to>
      <xdr:col>8</xdr:col>
      <xdr:colOff>314325</xdr:colOff>
      <xdr:row>32</xdr:row>
      <xdr:rowOff>185737</xdr:rowOff>
    </xdr:to>
    <xdr:graphicFrame macro="">
      <xdr:nvGraphicFramePr>
        <xdr:cNvPr id="12" name="Chart 7">
          <a:extLst>
            <a:ext uri="{FF2B5EF4-FFF2-40B4-BE49-F238E27FC236}">
              <a16:creationId xmlns:a16="http://schemas.microsoft.com/office/drawing/2014/main" id="{6FDA2AA5-151F-473D-8717-BE2F844F35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</xdr:colOff>
      <xdr:row>18</xdr:row>
      <xdr:rowOff>138112</xdr:rowOff>
    </xdr:from>
    <xdr:to>
      <xdr:col>16</xdr:col>
      <xdr:colOff>328612</xdr:colOff>
      <xdr:row>33</xdr:row>
      <xdr:rowOff>23812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1F9F0EC-B818-46CC-908D-E8CA2214BD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10212" y="3567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19050</xdr:colOff>
      <xdr:row>2</xdr:row>
      <xdr:rowOff>166687</xdr:rowOff>
    </xdr:from>
    <xdr:to>
      <xdr:col>24</xdr:col>
      <xdr:colOff>323850</xdr:colOff>
      <xdr:row>17</xdr:row>
      <xdr:rowOff>52387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6A039A0-DA4E-4BE6-B2AB-3C2523B47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561975</xdr:colOff>
      <xdr:row>18</xdr:row>
      <xdr:rowOff>157162</xdr:rowOff>
    </xdr:from>
    <xdr:to>
      <xdr:col>24</xdr:col>
      <xdr:colOff>257175</xdr:colOff>
      <xdr:row>33</xdr:row>
      <xdr:rowOff>42862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E55E29E7-354C-4326-B1BF-BE836165D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25</xdr:col>
      <xdr:colOff>38100</xdr:colOff>
      <xdr:row>2</xdr:row>
      <xdr:rowOff>157162</xdr:rowOff>
    </xdr:from>
    <xdr:to>
      <xdr:col>32</xdr:col>
      <xdr:colOff>342900</xdr:colOff>
      <xdr:row>17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2">
              <a:extLst>
                <a:ext uri="{FF2B5EF4-FFF2-40B4-BE49-F238E27FC236}">
                  <a16:creationId xmlns:a16="http://schemas.microsoft.com/office/drawing/2014/main" id="{81675C86-3F70-4C3C-B071-57BA58C089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78100" y="538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600075</xdr:colOff>
      <xdr:row>18</xdr:row>
      <xdr:rowOff>161925</xdr:rowOff>
    </xdr:from>
    <xdr:to>
      <xdr:col>32</xdr:col>
      <xdr:colOff>352425</xdr:colOff>
      <xdr:row>33</xdr:row>
      <xdr:rowOff>47625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B72D35C-A93A-494F-A752-C9DD99A9BA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13</xdr:row>
      <xdr:rowOff>147637</xdr:rowOff>
    </xdr:from>
    <xdr:to>
      <xdr:col>7</xdr:col>
      <xdr:colOff>419100</xdr:colOff>
      <xdr:row>28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1F3FE0-12C8-4B95-A255-608F1A54DC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essier, Nicholas" refreshedDate="44804.415187962964" createdVersion="7" refreshedVersion="7" minRefreshableVersion="3" recordCount="65" xr:uid="{84ADA17C-978F-4358-8FB6-41BC8DB35911}">
  <cacheSource type="worksheet">
    <worksheetSource name="CreditCardData"/>
  </cacheSource>
  <cacheFields count="18">
    <cacheField name="CustomerID" numFmtId="165">
      <sharedItems containsSemiMixedTypes="0" containsString="0" containsNumber="1" containsInteger="1" minValue="1" maxValue="65"/>
    </cacheField>
    <cacheField name="First Name" numFmtId="0">
      <sharedItems/>
    </cacheField>
    <cacheField name="Last Name" numFmtId="0">
      <sharedItems/>
    </cacheField>
    <cacheField name="Gender" numFmtId="0">
      <sharedItems count="2">
        <s v="F"/>
        <s v="M"/>
      </sharedItems>
    </cacheField>
    <cacheField name="DOB" numFmtId="164">
      <sharedItems containsSemiMixedTypes="0" containsNonDate="0" containsDate="1" containsString="0" minDate="1935-12-20T00:00:00" maxDate="2001-02-24T00:00:00"/>
    </cacheField>
    <cacheField name="Age at Open" numFmtId="1">
      <sharedItems containsSemiMixedTypes="0" containsString="0" containsNumber="1" minValue="21.294444444444444" maxValue="86.161111111111111"/>
    </cacheField>
    <cacheField name="Rounded Age" numFmtId="1">
      <sharedItems containsSemiMixedTypes="0" containsString="0" containsNumber="1" containsInteger="1" minValue="21" maxValue="86" count="40">
        <n v="54"/>
        <n v="81"/>
        <n v="53"/>
        <n v="61"/>
        <n v="79"/>
        <n v="51"/>
        <n v="36"/>
        <n v="21"/>
        <n v="63"/>
        <n v="73"/>
        <n v="82"/>
        <n v="50"/>
        <n v="67"/>
        <n v="59"/>
        <n v="64"/>
        <n v="39"/>
        <n v="86"/>
        <n v="75"/>
        <n v="65"/>
        <n v="69"/>
        <n v="68"/>
        <n v="60"/>
        <n v="58"/>
        <n v="47"/>
        <n v="57"/>
        <n v="46"/>
        <n v="52"/>
        <n v="32"/>
        <n v="55"/>
        <n v="40"/>
        <n v="34"/>
        <n v="66"/>
        <n v="31"/>
        <n v="35"/>
        <n v="38"/>
        <n v="62"/>
        <n v="42"/>
        <n v="85"/>
        <n v="56"/>
        <n v="71"/>
      </sharedItems>
    </cacheField>
    <cacheField name="Open Date" numFmtId="164">
      <sharedItems containsSemiMixedTypes="0" containsNonDate="0" containsDate="1" containsString="0" minDate="2021-01-21T00:00:00" maxDate="2022-07-31T00:00:00"/>
    </cacheField>
    <cacheField name="Activation Date" numFmtId="164">
      <sharedItems containsDate="1" containsMixedTypes="1" minDate="2021-01-29T00:00:00" maxDate="2022-08-16T00:00:00"/>
    </cacheField>
    <cacheField name="# Days until Act" numFmtId="165">
      <sharedItems containsMixedTypes="1" containsNumber="1" containsInteger="1" minValue="2" maxValue="155"/>
    </cacheField>
    <cacheField name="CMA Establish Date" numFmtId="164">
      <sharedItems containsSemiMixedTypes="0" containsNonDate="0" containsDate="1" containsString="0" minDate="1969-08-21T00:00:00" maxDate="2022-01-04T00:00:00"/>
    </cacheField>
    <cacheField name="Yrs with Bank at Open" numFmtId="166">
      <sharedItems containsSemiMixedTypes="0" containsString="0" containsNumber="1" minValue="0" maxValue="52.491666666666667"/>
    </cacheField>
    <cacheField name="Address" numFmtId="0">
      <sharedItems count="11">
        <s v="SOQUEL"/>
        <s v="SANTA CRUZ"/>
        <s v="CAPITOLA"/>
        <s v="FREEDOM"/>
        <s v="APTOS"/>
        <s v="SCOTTS VALLEY"/>
        <s v="WATSONVILLE"/>
        <s v="SALINAS"/>
        <s v="FRESNO"/>
        <s v="LOS GATOS"/>
        <s v="SAN JOSE"/>
      </sharedItems>
    </cacheField>
    <cacheField name="Home Branch" numFmtId="0">
      <sharedItems count="10">
        <s v="CAPITOLA"/>
        <s v="WATSONVILLE"/>
        <s v="SCOTTS VALLEY"/>
        <s v="SANTA CRUZ MAIN"/>
        <s v="EAST SANTA CRUZ"/>
        <s v="SALINAS"/>
        <s v="APTOS"/>
        <s v="WILLOW GLEN"/>
        <s v="UNASSIGNED"/>
        <s v="SARATOGA"/>
      </sharedItems>
    </cacheField>
    <cacheField name="Balance of Deposits" numFmtId="44">
      <sharedItems containsSemiMixedTypes="0" containsString="0" containsNumber="1" minValue="-65.05" maxValue="428136.55"/>
    </cacheField>
    <cacheField name="# of Deposit Accounts" numFmtId="0">
      <sharedItems containsSemiMixedTypes="0" containsString="0" containsNumber="1" containsInteger="1" minValue="1" maxValue="6" count="6">
        <n v="2"/>
        <n v="1"/>
        <n v="4"/>
        <n v="5"/>
        <n v="3"/>
        <n v="6"/>
      </sharedItems>
    </cacheField>
    <cacheField name="# of Credit Cards" numFmtId="0">
      <sharedItems containsSemiMixedTypes="0" containsString="0" containsNumber="1" containsInteger="1" minValue="0" maxValue="2" count="3">
        <n v="0"/>
        <n v="1"/>
        <n v="2"/>
      </sharedItems>
    </cacheField>
    <cacheField name="Card Type" numFmtId="0">
      <sharedItems count="4">
        <s v="Visa Platinum"/>
        <s v="Visa Signature Max Cash Preferred"/>
        <s v="Visa Signature Everyday Rewards"/>
        <s v="Secured Vis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">
  <r>
    <n v="1"/>
    <s v="KAREN"/>
    <s v="BAUERLE"/>
    <x v="0"/>
    <d v="1967-09-27T00:00:00"/>
    <n v="54.711111111111109"/>
    <x v="0"/>
    <d v="2022-06-13T00:00:00"/>
    <s v="-"/>
    <s v="N/A"/>
    <d v="2021-08-11T00:00:00"/>
    <n v="0.83888888888888891"/>
    <x v="0"/>
    <x v="0"/>
    <n v="100790.47"/>
    <x v="0"/>
    <x v="0"/>
    <x v="0"/>
  </r>
  <r>
    <n v="2"/>
    <s v="JOANNA"/>
    <s v="BENSON"/>
    <x v="0"/>
    <d v="1941-04-01T00:00:00"/>
    <n v="81.269444444444446"/>
    <x v="1"/>
    <d v="2022-07-08T00:00:00"/>
    <d v="2022-07-16T00:00:00"/>
    <n v="8"/>
    <d v="1974-11-04T00:00:00"/>
    <n v="47.677777777777777"/>
    <x v="1"/>
    <x v="0"/>
    <n v="11910.6"/>
    <x v="0"/>
    <x v="0"/>
    <x v="1"/>
  </r>
  <r>
    <n v="3"/>
    <s v="CHRISTIANA"/>
    <s v="BONJARDIM"/>
    <x v="0"/>
    <d v="1968-03-24T00:00:00"/>
    <n v="53.822222222222223"/>
    <x v="2"/>
    <d v="2022-01-20T00:00:00"/>
    <d v="2022-01-27T00:00:00"/>
    <n v="7"/>
    <d v="2021-06-28T00:00:00"/>
    <n v="0.56111111111111112"/>
    <x v="2"/>
    <x v="0"/>
    <n v="13.81"/>
    <x v="0"/>
    <x v="0"/>
    <x v="0"/>
  </r>
  <r>
    <n v="4"/>
    <s v="PAULEEN"/>
    <s v="BRIDGETTE"/>
    <x v="0"/>
    <d v="1961-02-08T00:00:00"/>
    <n v="61.366666666666667"/>
    <x v="3"/>
    <d v="2022-06-20T00:00:00"/>
    <d v="2022-06-28T00:00:00"/>
    <n v="8"/>
    <d v="2017-08-07T00:00:00"/>
    <n v="4.8694444444444445"/>
    <x v="3"/>
    <x v="1"/>
    <n v="3515.96"/>
    <x v="0"/>
    <x v="0"/>
    <x v="0"/>
  </r>
  <r>
    <n v="5"/>
    <s v="JAMES"/>
    <s v="BROWNE"/>
    <x v="1"/>
    <d v="1942-09-14T00:00:00"/>
    <n v="79.344444444444449"/>
    <x v="4"/>
    <d v="2022-01-18T00:00:00"/>
    <d v="2022-03-01T00:00:00"/>
    <n v="42"/>
    <d v="1995-06-07T00:00:00"/>
    <n v="26.613888888888887"/>
    <x v="4"/>
    <x v="0"/>
    <n v="40339.050000000003"/>
    <x v="1"/>
    <x v="0"/>
    <x v="2"/>
  </r>
  <r>
    <n v="6"/>
    <s v="MA"/>
    <s v="CABIT"/>
    <x v="0"/>
    <d v="1971-02-05T00:00:00"/>
    <n v="51.108333333333334"/>
    <x v="5"/>
    <d v="2022-03-14T00:00:00"/>
    <d v="2022-03-25T00:00:00"/>
    <n v="11"/>
    <d v="2017-04-20T00:00:00"/>
    <n v="4.9000000000000004"/>
    <x v="1"/>
    <x v="0"/>
    <n v="4565.47"/>
    <x v="1"/>
    <x v="0"/>
    <x v="0"/>
  </r>
  <r>
    <n v="7"/>
    <s v="SERGIO"/>
    <s v="GRANADOS"/>
    <x v="1"/>
    <d v="1985-08-26T00:00:00"/>
    <n v="36.711111111111109"/>
    <x v="6"/>
    <d v="2022-05-12T00:00:00"/>
    <d v="2022-06-09T00:00:00"/>
    <n v="28"/>
    <d v="2010-12-08T00:00:00"/>
    <n v="11.427777777777777"/>
    <x v="5"/>
    <x v="2"/>
    <n v="57867.99"/>
    <x v="2"/>
    <x v="0"/>
    <x v="3"/>
  </r>
  <r>
    <n v="8"/>
    <s v="JOSUE"/>
    <s v="GUZMAN"/>
    <x v="1"/>
    <d v="2001-02-23T00:00:00"/>
    <n v="21.294444444444444"/>
    <x v="7"/>
    <d v="2022-06-09T00:00:00"/>
    <d v="2022-06-16T00:00:00"/>
    <n v="7"/>
    <d v="2017-03-20T00:00:00"/>
    <n v="5.2194444444444441"/>
    <x v="2"/>
    <x v="3"/>
    <n v="6801.82"/>
    <x v="0"/>
    <x v="0"/>
    <x v="3"/>
  </r>
  <r>
    <n v="9"/>
    <s v="JANICE"/>
    <s v="HIRANO"/>
    <x v="0"/>
    <d v="1959-01-19T00:00:00"/>
    <n v="63.530555555555559"/>
    <x v="8"/>
    <d v="2022-07-30T00:00:00"/>
    <d v="2022-08-15T00:00:00"/>
    <n v="16"/>
    <d v="1990-01-25T00:00:00"/>
    <n v="32.513888888888886"/>
    <x v="6"/>
    <x v="1"/>
    <n v="28220.53"/>
    <x v="3"/>
    <x v="1"/>
    <x v="0"/>
  </r>
  <r>
    <n v="10"/>
    <s v="RAUL"/>
    <s v="HURTADO CARRANZA"/>
    <x v="1"/>
    <d v="1948-03-22T00:00:00"/>
    <n v="73.8"/>
    <x v="9"/>
    <d v="2022-01-10T00:00:00"/>
    <d v="2022-01-15T00:00:00"/>
    <n v="5"/>
    <d v="2006-12-21T00:00:00"/>
    <n v="15.052777777777777"/>
    <x v="1"/>
    <x v="3"/>
    <n v="48345.47"/>
    <x v="0"/>
    <x v="0"/>
    <x v="0"/>
  </r>
  <r>
    <n v="11"/>
    <s v="ANGELICA"/>
    <s v="JIMENEZ"/>
    <x v="0"/>
    <d v="1940-05-08T00:00:00"/>
    <n v="82.186111111111117"/>
    <x v="10"/>
    <d v="2022-07-15T00:00:00"/>
    <d v="2022-08-02T00:00:00"/>
    <n v="18"/>
    <d v="1993-02-02T00:00:00"/>
    <n v="29.452777777777779"/>
    <x v="0"/>
    <x v="0"/>
    <n v="573.54999999999995"/>
    <x v="1"/>
    <x v="0"/>
    <x v="0"/>
  </r>
  <r>
    <n v="12"/>
    <s v="EMELDA"/>
    <s v="KILAB"/>
    <x v="0"/>
    <d v="1971-10-15T00:00:00"/>
    <n v="50.297222222222224"/>
    <x v="11"/>
    <d v="2022-02-02T00:00:00"/>
    <d v="2022-02-11T00:00:00"/>
    <n v="9"/>
    <d v="2016-01-27T00:00:00"/>
    <n v="6.0138888888888893"/>
    <x v="1"/>
    <x v="3"/>
    <n v="-4.82"/>
    <x v="0"/>
    <x v="1"/>
    <x v="0"/>
  </r>
  <r>
    <n v="13"/>
    <s v="KEVIN"/>
    <s v="KRAFT"/>
    <x v="1"/>
    <d v="1954-08-26T00:00:00"/>
    <n v="67.469444444444449"/>
    <x v="12"/>
    <d v="2022-02-15T00:00:00"/>
    <d v="2022-02-17T00:00:00"/>
    <n v="2"/>
    <d v="1987-08-18T00:00:00"/>
    <n v="34.491666666666667"/>
    <x v="4"/>
    <x v="0"/>
    <n v="10778.69"/>
    <x v="1"/>
    <x v="0"/>
    <x v="0"/>
  </r>
  <r>
    <n v="14"/>
    <s v="JOSEPH"/>
    <s v="LEIGHT"/>
    <x v="1"/>
    <d v="1948-04-05T00:00:00"/>
    <n v="73.944444444444443"/>
    <x v="9"/>
    <d v="2022-03-15T00:00:00"/>
    <d v="2022-04-05T00:00:00"/>
    <n v="21"/>
    <d v="2013-11-04T00:00:00"/>
    <n v="8.3638888888888889"/>
    <x v="2"/>
    <x v="4"/>
    <n v="1268.47"/>
    <x v="0"/>
    <x v="0"/>
    <x v="3"/>
  </r>
  <r>
    <n v="15"/>
    <s v="JODI"/>
    <s v="LEWIS"/>
    <x v="0"/>
    <d v="1962-09-06T00:00:00"/>
    <n v="59.75"/>
    <x v="13"/>
    <d v="2022-06-06T00:00:00"/>
    <d v="2022-06-13T00:00:00"/>
    <n v="7"/>
    <d v="1993-03-29T00:00:00"/>
    <n v="29.18611111111111"/>
    <x v="1"/>
    <x v="0"/>
    <n v="24058.98"/>
    <x v="0"/>
    <x v="0"/>
    <x v="0"/>
  </r>
  <r>
    <n v="16"/>
    <s v="BETTY"/>
    <s v="LOPEZ-SOUZA"/>
    <x v="0"/>
    <d v="1958-03-31T00:00:00"/>
    <n v="64.322222222222223"/>
    <x v="14"/>
    <d v="2022-07-26T00:00:00"/>
    <d v="2022-08-15T00:00:00"/>
    <n v="20"/>
    <d v="2007-09-12T00:00:00"/>
    <n v="14.872222222222222"/>
    <x v="2"/>
    <x v="0"/>
    <n v="644.45000000000005"/>
    <x v="1"/>
    <x v="0"/>
    <x v="0"/>
  </r>
  <r>
    <n v="17"/>
    <s v="TERRIE"/>
    <s v="LOVEIT"/>
    <x v="0"/>
    <d v="1939-11-05T00:00:00"/>
    <n v="82.597222222222229"/>
    <x v="10"/>
    <d v="2022-06-10T00:00:00"/>
    <d v="2022-06-20T00:00:00"/>
    <n v="10"/>
    <d v="1994-11-02T00:00:00"/>
    <n v="27.605555555555554"/>
    <x v="0"/>
    <x v="0"/>
    <n v="11850.77"/>
    <x v="0"/>
    <x v="0"/>
    <x v="0"/>
  </r>
  <r>
    <n v="18"/>
    <s v="MIGUEL"/>
    <s v="MARTINEZ"/>
    <x v="1"/>
    <d v="1982-09-03T00:00:00"/>
    <n v="39.908333333333331"/>
    <x v="15"/>
    <d v="2022-07-30T00:00:00"/>
    <d v="2022-08-07T00:00:00"/>
    <n v="8"/>
    <d v="2016-06-21T00:00:00"/>
    <n v="6.1083333333333334"/>
    <x v="1"/>
    <x v="0"/>
    <n v="900.1"/>
    <x v="1"/>
    <x v="0"/>
    <x v="0"/>
  </r>
  <r>
    <n v="19"/>
    <s v="PHYLLIS"/>
    <s v="MEDEK"/>
    <x v="0"/>
    <d v="1935-12-20T00:00:00"/>
    <n v="86.161111111111111"/>
    <x v="16"/>
    <d v="2022-02-18T00:00:00"/>
    <d v="2022-03-04T00:00:00"/>
    <n v="14"/>
    <d v="1969-08-21T00:00:00"/>
    <n v="52.491666666666667"/>
    <x v="2"/>
    <x v="3"/>
    <n v="202763.38"/>
    <x v="1"/>
    <x v="0"/>
    <x v="0"/>
  </r>
  <r>
    <n v="20"/>
    <s v="JOSE"/>
    <s v="MERAZ"/>
    <x v="1"/>
    <d v="1946-12-20T00:00:00"/>
    <n v="75.561111111111117"/>
    <x v="17"/>
    <d v="2022-07-12T00:00:00"/>
    <s v="-"/>
    <s v="N/A"/>
    <d v="2009-01-22T00:00:00"/>
    <n v="13.472222222222221"/>
    <x v="1"/>
    <x v="0"/>
    <n v="15168.5"/>
    <x v="0"/>
    <x v="0"/>
    <x v="0"/>
  </r>
  <r>
    <n v="21"/>
    <s v="DARYOUSH"/>
    <s v="MESRY"/>
    <x v="1"/>
    <d v="1958-11-20T00:00:00"/>
    <n v="63.255555555555553"/>
    <x v="8"/>
    <d v="2022-02-22T00:00:00"/>
    <d v="2022-03-01T00:00:00"/>
    <n v="7"/>
    <d v="1994-05-20T00:00:00"/>
    <n v="27.755555555555556"/>
    <x v="1"/>
    <x v="3"/>
    <n v="261443.33"/>
    <x v="4"/>
    <x v="1"/>
    <x v="0"/>
  </r>
  <r>
    <n v="22"/>
    <s v="TUONG"/>
    <s v="NGUYEN"/>
    <x v="1"/>
    <d v="1956-02-10T00:00:00"/>
    <n v="65.897222222222226"/>
    <x v="18"/>
    <d v="2022-01-03T00:00:00"/>
    <d v="2022-01-15T00:00:00"/>
    <n v="12"/>
    <d v="2022-01-03T00:00:00"/>
    <n v="0"/>
    <x v="6"/>
    <x v="0"/>
    <n v="12282.23"/>
    <x v="1"/>
    <x v="0"/>
    <x v="0"/>
  </r>
  <r>
    <n v="23"/>
    <s v="JUAN"/>
    <s v="NUNEZ"/>
    <x v="1"/>
    <d v="1963-05-26T00:00:00"/>
    <n v="59.019444444444446"/>
    <x v="13"/>
    <d v="2022-06-03T00:00:00"/>
    <d v="2022-06-10T00:00:00"/>
    <n v="7"/>
    <d v="1991-03-19T00:00:00"/>
    <n v="31.205555555555556"/>
    <x v="1"/>
    <x v="0"/>
    <n v="2590.77"/>
    <x v="1"/>
    <x v="0"/>
    <x v="0"/>
  </r>
  <r>
    <n v="24"/>
    <s v="STEVEN"/>
    <s v="ONETO"/>
    <x v="1"/>
    <d v="1952-11-29T00:00:00"/>
    <n v="69.602777777777774"/>
    <x v="19"/>
    <d v="2022-07-06T00:00:00"/>
    <d v="2022-07-11T00:00:00"/>
    <n v="5"/>
    <d v="1985-05-28T00:00:00"/>
    <n v="37.105555555555554"/>
    <x v="1"/>
    <x v="0"/>
    <n v="28996.959999999999"/>
    <x v="0"/>
    <x v="1"/>
    <x v="0"/>
  </r>
  <r>
    <n v="25"/>
    <s v="TERESA"/>
    <s v="OROPEZA"/>
    <x v="0"/>
    <d v="1954-02-17T00:00:00"/>
    <n v="68.400000000000006"/>
    <x v="20"/>
    <d v="2022-07-11T00:00:00"/>
    <s v="-"/>
    <s v="N/A"/>
    <d v="1984-07-27T00:00:00"/>
    <n v="37.955555555555556"/>
    <x v="1"/>
    <x v="4"/>
    <n v="41793.550000000003"/>
    <x v="0"/>
    <x v="1"/>
    <x v="0"/>
  </r>
  <r>
    <n v="26"/>
    <s v="SIDOTH"/>
    <s v="PATH"/>
    <x v="1"/>
    <d v="1969-02-28T00:00:00"/>
    <n v="53.272222222222226"/>
    <x v="2"/>
    <d v="2022-06-08T00:00:00"/>
    <d v="2022-07-08T00:00:00"/>
    <n v="30"/>
    <d v="1994-05-20T00:00:00"/>
    <n v="28.05"/>
    <x v="4"/>
    <x v="3"/>
    <n v="6111.98"/>
    <x v="1"/>
    <x v="0"/>
    <x v="0"/>
  </r>
  <r>
    <n v="27"/>
    <s v="MICHAEL"/>
    <s v="PETERSON"/>
    <x v="1"/>
    <d v="1962-05-16T00:00:00"/>
    <n v="60.205555555555556"/>
    <x v="21"/>
    <d v="2022-07-30T00:00:00"/>
    <d v="2022-08-06T00:00:00"/>
    <n v="7"/>
    <d v="1981-03-12T00:00:00"/>
    <n v="41.383333333333333"/>
    <x v="2"/>
    <x v="2"/>
    <n v="10135.59"/>
    <x v="0"/>
    <x v="0"/>
    <x v="0"/>
  </r>
  <r>
    <n v="28"/>
    <s v="JOHN"/>
    <s v="PILGE"/>
    <x v="1"/>
    <d v="1955-04-15T00:00:00"/>
    <n v="67.088888888888889"/>
    <x v="12"/>
    <d v="2022-05-17T00:00:00"/>
    <d v="2022-05-23T00:00:00"/>
    <n v="6"/>
    <d v="2014-12-12T00:00:00"/>
    <n v="7.4305555555555554"/>
    <x v="1"/>
    <x v="0"/>
    <n v="17967.13"/>
    <x v="1"/>
    <x v="0"/>
    <x v="2"/>
  </r>
  <r>
    <n v="29"/>
    <s v="DAISY"/>
    <s v="RAMIREZ"/>
    <x v="0"/>
    <d v="1964-02-17T00:00:00"/>
    <n v="58.4"/>
    <x v="22"/>
    <d v="2022-07-11T00:00:00"/>
    <d v="2022-07-22T00:00:00"/>
    <n v="11"/>
    <d v="1991-06-26T00:00:00"/>
    <n v="31.041666666666668"/>
    <x v="6"/>
    <x v="0"/>
    <n v="5533.94"/>
    <x v="2"/>
    <x v="1"/>
    <x v="0"/>
  </r>
  <r>
    <n v="30"/>
    <s v="NOEME"/>
    <s v="REA"/>
    <x v="0"/>
    <d v="1975-05-05T00:00:00"/>
    <n v="47.06111111111111"/>
    <x v="23"/>
    <d v="2022-05-27T00:00:00"/>
    <d v="2022-06-11T00:00:00"/>
    <n v="15"/>
    <d v="2006-04-21T00:00:00"/>
    <n v="16.100000000000001"/>
    <x v="2"/>
    <x v="0"/>
    <n v="69477.8"/>
    <x v="4"/>
    <x v="1"/>
    <x v="0"/>
  </r>
  <r>
    <n v="31"/>
    <s v="JEFFERY"/>
    <s v="ROBINS"/>
    <x v="1"/>
    <d v="1964-10-19T00:00:00"/>
    <n v="57.758333333333333"/>
    <x v="24"/>
    <d v="2022-07-22T00:00:00"/>
    <d v="2022-07-30T00:00:00"/>
    <n v="8"/>
    <d v="2005-04-15T00:00:00"/>
    <n v="17.269444444444446"/>
    <x v="1"/>
    <x v="0"/>
    <n v="244365.4"/>
    <x v="0"/>
    <x v="0"/>
    <x v="0"/>
  </r>
  <r>
    <n v="32"/>
    <s v="LARRY"/>
    <s v="ROCK"/>
    <x v="1"/>
    <d v="1954-07-09T00:00:00"/>
    <n v="67.952777777777783"/>
    <x v="12"/>
    <d v="2022-06-22T00:00:00"/>
    <d v="2022-08-01T00:00:00"/>
    <n v="40"/>
    <d v="2021-11-04T00:00:00"/>
    <n v="0.6333333333333333"/>
    <x v="2"/>
    <x v="1"/>
    <n v="1223.53"/>
    <x v="1"/>
    <x v="0"/>
    <x v="2"/>
  </r>
  <r>
    <n v="33"/>
    <s v="CAMAC"/>
    <s v="SERNA"/>
    <x v="1"/>
    <d v="1975-09-19T00:00:00"/>
    <n v="46.68888888888889"/>
    <x v="25"/>
    <d v="2022-05-27T00:00:00"/>
    <d v="2022-06-28T00:00:00"/>
    <n v="32"/>
    <d v="2008-06-30T00:00:00"/>
    <n v="13.908333333333333"/>
    <x v="7"/>
    <x v="3"/>
    <n v="18567.7"/>
    <x v="1"/>
    <x v="0"/>
    <x v="0"/>
  </r>
  <r>
    <n v="34"/>
    <s v="LUIS"/>
    <s v="TORRES"/>
    <x v="1"/>
    <d v="1970-05-05T00:00:00"/>
    <n v="52.133333333333333"/>
    <x v="26"/>
    <d v="2022-06-23T00:00:00"/>
    <d v="2022-07-08T00:00:00"/>
    <n v="15"/>
    <d v="2008-04-07T00:00:00"/>
    <n v="14.21111111111111"/>
    <x v="1"/>
    <x v="0"/>
    <n v="3884.67"/>
    <x v="0"/>
    <x v="0"/>
    <x v="0"/>
  </r>
  <r>
    <n v="35"/>
    <s v="LILIA"/>
    <s v="VALENCIA SERRANO"/>
    <x v="0"/>
    <d v="1990-01-25T00:00:00"/>
    <n v="32.291666666666664"/>
    <x v="27"/>
    <d v="2022-05-10T00:00:00"/>
    <d v="2022-05-16T00:00:00"/>
    <n v="6"/>
    <d v="2013-06-25T00:00:00"/>
    <n v="8.875"/>
    <x v="6"/>
    <x v="3"/>
    <n v="3045.75"/>
    <x v="1"/>
    <x v="1"/>
    <x v="0"/>
  </r>
  <r>
    <n v="36"/>
    <s v="BRENT"/>
    <s v="WHITE"/>
    <x v="1"/>
    <d v="1963-12-03T00:00:00"/>
    <n v="58.555555555555557"/>
    <x v="22"/>
    <d v="2022-06-23T00:00:00"/>
    <s v="-"/>
    <s v="N/A"/>
    <d v="2014-05-30T00:00:00"/>
    <n v="8.0638888888888882"/>
    <x v="2"/>
    <x v="0"/>
    <n v="-65.05"/>
    <x v="1"/>
    <x v="0"/>
    <x v="0"/>
  </r>
  <r>
    <n v="37"/>
    <s v="LYNDA"/>
    <s v="ADAMS"/>
    <x v="0"/>
    <d v="1952-08-12T00:00:00"/>
    <n v="68.441666666666663"/>
    <x v="20"/>
    <d v="2021-01-21T00:00:00"/>
    <d v="2021-01-29T00:00:00"/>
    <n v="8"/>
    <d v="1984-06-29T00:00:00"/>
    <n v="36.56111111111111"/>
    <x v="1"/>
    <x v="0"/>
    <n v="0"/>
    <x v="0"/>
    <x v="0"/>
    <x v="0"/>
  </r>
  <r>
    <n v="38"/>
    <s v="JORGE"/>
    <s v="AGUILAR"/>
    <x v="1"/>
    <d v="1956-03-01T00:00:00"/>
    <n v="65.802777777777777"/>
    <x v="18"/>
    <d v="2021-12-20T00:00:00"/>
    <d v="2022-01-25T00:00:00"/>
    <n v="36"/>
    <d v="2020-06-11T00:00:00"/>
    <n v="1.5249999999999999"/>
    <x v="1"/>
    <x v="0"/>
    <n v="8220.4699999999993"/>
    <x v="0"/>
    <x v="0"/>
    <x v="0"/>
  </r>
  <r>
    <n v="39"/>
    <s v="CORY"/>
    <s v="ARRISON"/>
    <x v="1"/>
    <d v="1985-07-14T00:00:00"/>
    <n v="36.036111111111111"/>
    <x v="6"/>
    <d v="2021-07-27T00:00:00"/>
    <s v="-"/>
    <s v="N/A"/>
    <d v="2019-02-21T00:00:00"/>
    <n v="2.4333333333333331"/>
    <x v="5"/>
    <x v="4"/>
    <n v="2590.23"/>
    <x v="0"/>
    <x v="1"/>
    <x v="1"/>
  </r>
  <r>
    <n v="40"/>
    <s v="PERRY"/>
    <s v="BARRETT"/>
    <x v="1"/>
    <d v="1965-10-28T00:00:00"/>
    <n v="55.444444444444443"/>
    <x v="28"/>
    <d v="2021-04-08T00:00:00"/>
    <d v="2021-05-27T00:00:00"/>
    <n v="49"/>
    <d v="2000-07-10T00:00:00"/>
    <n v="20.744444444444444"/>
    <x v="0"/>
    <x v="0"/>
    <n v="82431.38"/>
    <x v="2"/>
    <x v="0"/>
    <x v="0"/>
  </r>
  <r>
    <n v="41"/>
    <s v="SCOTT"/>
    <s v="BECKWITH"/>
    <x v="1"/>
    <d v="1980-07-08T00:00:00"/>
    <n v="40.94166666666667"/>
    <x v="29"/>
    <d v="2021-06-17T00:00:00"/>
    <d v="2021-06-25T00:00:00"/>
    <n v="8"/>
    <d v="2014-05-21T00:00:00"/>
    <n v="7.072222222222222"/>
    <x v="8"/>
    <x v="5"/>
    <n v="0.89"/>
    <x v="1"/>
    <x v="0"/>
    <x v="0"/>
  </r>
  <r>
    <n v="42"/>
    <s v="SHEREEN"/>
    <s v="BENSON"/>
    <x v="0"/>
    <d v="1966-02-28T00:00:00"/>
    <n v="55.50277777777778"/>
    <x v="28"/>
    <d v="2021-08-31T00:00:00"/>
    <d v="2021-09-23T00:00:00"/>
    <n v="23"/>
    <d v="1998-12-30T00:00:00"/>
    <n v="22.666666666666668"/>
    <x v="2"/>
    <x v="6"/>
    <n v="8593.44"/>
    <x v="0"/>
    <x v="0"/>
    <x v="0"/>
  </r>
  <r>
    <n v="43"/>
    <s v="LINA"/>
    <s v="CHEA"/>
    <x v="0"/>
    <d v="1986-12-21T00:00:00"/>
    <n v="34.986111111111114"/>
    <x v="30"/>
    <d v="2021-12-16T00:00:00"/>
    <d v="2021-12-27T00:00:00"/>
    <n v="11"/>
    <d v="2008-01-29T00:00:00"/>
    <n v="13.880555555555556"/>
    <x v="1"/>
    <x v="3"/>
    <n v="18657.34"/>
    <x v="0"/>
    <x v="0"/>
    <x v="3"/>
  </r>
  <r>
    <n v="44"/>
    <s v="EDWARD"/>
    <s v="CHEVALIER"/>
    <x v="1"/>
    <d v="1954-08-29T00:00:00"/>
    <n v="66.736111111111114"/>
    <x v="31"/>
    <d v="2021-05-24T00:00:00"/>
    <s v="-"/>
    <s v="N/A"/>
    <d v="1996-09-14T00:00:00"/>
    <n v="24.694444444444443"/>
    <x v="1"/>
    <x v="0"/>
    <n v="68976.47"/>
    <x v="1"/>
    <x v="1"/>
    <x v="0"/>
  </r>
  <r>
    <n v="45"/>
    <s v="KEN"/>
    <s v="CONSTABLE"/>
    <x v="1"/>
    <d v="1963-05-10T00:00:00"/>
    <n v="58.25277777777778"/>
    <x v="22"/>
    <d v="2021-08-11T00:00:00"/>
    <d v="2021-08-23T00:00:00"/>
    <n v="12"/>
    <d v="2009-09-22T00:00:00"/>
    <n v="11.886111111111111"/>
    <x v="2"/>
    <x v="0"/>
    <n v="18399.439999999999"/>
    <x v="0"/>
    <x v="0"/>
    <x v="0"/>
  </r>
  <r>
    <n v="46"/>
    <s v="WILLIAM"/>
    <s v="DEMPSTER"/>
    <x v="1"/>
    <d v="1990-02-15T00:00:00"/>
    <n v="31.2"/>
    <x v="32"/>
    <d v="2021-04-27T00:00:00"/>
    <d v="2021-05-03T00:00:00"/>
    <n v="6"/>
    <d v="2007-09-27T00:00:00"/>
    <n v="13.583333333333334"/>
    <x v="1"/>
    <x v="7"/>
    <n v="5860.51"/>
    <x v="4"/>
    <x v="0"/>
    <x v="3"/>
  </r>
  <r>
    <n v="47"/>
    <s v="JUAN"/>
    <s v="GARCIA ACEVEDO"/>
    <x v="1"/>
    <d v="1963-10-03T00:00:00"/>
    <n v="58.12777777777778"/>
    <x v="22"/>
    <d v="2021-11-19T00:00:00"/>
    <d v="2021-12-14T00:00:00"/>
    <n v="25"/>
    <d v="1991-12-17T00:00:00"/>
    <n v="29.922222222222221"/>
    <x v="1"/>
    <x v="4"/>
    <n v="208247.05"/>
    <x v="0"/>
    <x v="0"/>
    <x v="2"/>
  </r>
  <r>
    <n v="48"/>
    <s v="JERAD"/>
    <s v="GERLACH"/>
    <x v="1"/>
    <d v="1985-03-03T00:00:00"/>
    <n v="35.977777777777774"/>
    <x v="33"/>
    <d v="2021-02-25T00:00:00"/>
    <d v="2021-03-06T00:00:00"/>
    <n v="9"/>
    <d v="2004-04-15T00:00:00"/>
    <n v="16.861111111111111"/>
    <x v="1"/>
    <x v="0"/>
    <n v="1151.75"/>
    <x v="0"/>
    <x v="0"/>
    <x v="0"/>
  </r>
  <r>
    <n v="49"/>
    <s v="REGINA"/>
    <s v="GURLEY"/>
    <x v="0"/>
    <d v="1987-03-28T00:00:00"/>
    <n v="34.241666666666667"/>
    <x v="30"/>
    <d v="2021-06-25T00:00:00"/>
    <d v="2021-07-07T00:00:00"/>
    <n v="12"/>
    <d v="2021-02-11T00:00:00"/>
    <n v="0.37222222222222223"/>
    <x v="4"/>
    <x v="8"/>
    <n v="3350.17"/>
    <x v="1"/>
    <x v="0"/>
    <x v="2"/>
  </r>
  <r>
    <n v="50"/>
    <s v="STEVEN"/>
    <s v="HOUGHTON"/>
    <x v="1"/>
    <d v="1983-09-17T00:00:00"/>
    <n v="38.047222222222224"/>
    <x v="34"/>
    <d v="2021-10-04T00:00:00"/>
    <d v="2021-10-09T00:00:00"/>
    <n v="5"/>
    <d v="2001-12-21T00:00:00"/>
    <n v="19.786111111111111"/>
    <x v="0"/>
    <x v="0"/>
    <n v="806.26"/>
    <x v="0"/>
    <x v="0"/>
    <x v="3"/>
  </r>
  <r>
    <n v="51"/>
    <s v="SHARON"/>
    <s v="KANTOR"/>
    <x v="0"/>
    <d v="1953-09-06T00:00:00"/>
    <n v="67.802777777777777"/>
    <x v="12"/>
    <d v="2021-06-25T00:00:00"/>
    <d v="2021-07-23T00:00:00"/>
    <n v="28"/>
    <d v="2019-05-01T00:00:00"/>
    <n v="2.15"/>
    <x v="1"/>
    <x v="0"/>
    <n v="63748.85"/>
    <x v="0"/>
    <x v="0"/>
    <x v="0"/>
  </r>
  <r>
    <n v="52"/>
    <s v="KATHRYN"/>
    <s v="KAUPERT"/>
    <x v="0"/>
    <d v="1958-05-01T00:00:00"/>
    <n v="62.780555555555559"/>
    <x v="35"/>
    <d v="2021-02-12T00:00:00"/>
    <d v="2021-03-03T00:00:00"/>
    <n v="19"/>
    <d v="2020-12-09T00:00:00"/>
    <n v="0.17499999999999999"/>
    <x v="9"/>
    <x v="8"/>
    <n v="19324.330000000002"/>
    <x v="1"/>
    <x v="0"/>
    <x v="0"/>
  </r>
  <r>
    <n v="53"/>
    <s v="GODO"/>
    <s v="MARTINEZ OTERO"/>
    <x v="1"/>
    <d v="1979-08-25T00:00:00"/>
    <n v="42.052777777777777"/>
    <x v="36"/>
    <d v="2021-09-14T00:00:00"/>
    <d v="2021-09-29T00:00:00"/>
    <n v="15"/>
    <d v="2014-02-24T00:00:00"/>
    <n v="7.5555555555555554"/>
    <x v="1"/>
    <x v="3"/>
    <n v="1901.36"/>
    <x v="0"/>
    <x v="0"/>
    <x v="3"/>
  </r>
  <r>
    <n v="54"/>
    <s v="MARIA"/>
    <s v="MARTINEZ RIVAS"/>
    <x v="0"/>
    <d v="1964-07-24T00:00:00"/>
    <n v="57.027777777777779"/>
    <x v="24"/>
    <d v="2021-08-04T00:00:00"/>
    <d v="2021-08-31T00:00:00"/>
    <n v="27"/>
    <d v="2018-10-09T00:00:00"/>
    <n v="2.8194444444444446"/>
    <x v="2"/>
    <x v="4"/>
    <n v="2339.67"/>
    <x v="0"/>
    <x v="1"/>
    <x v="2"/>
  </r>
  <r>
    <n v="55"/>
    <s v="JESUS"/>
    <s v="PICAZO"/>
    <x v="1"/>
    <d v="1971-01-10T00:00:00"/>
    <n v="50.580555555555556"/>
    <x v="11"/>
    <d v="2021-08-09T00:00:00"/>
    <d v="2021-08-20T00:00:00"/>
    <n v="11"/>
    <d v="1994-07-15T00:00:00"/>
    <n v="27.066666666666666"/>
    <x v="1"/>
    <x v="0"/>
    <n v="18468.900000000001"/>
    <x v="1"/>
    <x v="0"/>
    <x v="0"/>
  </r>
  <r>
    <n v="56"/>
    <s v="ALICE"/>
    <s v="PONZA"/>
    <x v="0"/>
    <d v="1935-12-29T00:00:00"/>
    <n v="85.808333333333337"/>
    <x v="37"/>
    <d v="2021-10-20T00:00:00"/>
    <d v="2021-11-02T00:00:00"/>
    <n v="13"/>
    <d v="1988-08-24T00:00:00"/>
    <n v="33.155555555555559"/>
    <x v="1"/>
    <x v="0"/>
    <n v="428136.55"/>
    <x v="5"/>
    <x v="0"/>
    <x v="0"/>
  </r>
  <r>
    <n v="57"/>
    <s v="RAUL"/>
    <s v="RAMIREZ HERNANDEZ"/>
    <x v="1"/>
    <d v="1980-12-16T00:00:00"/>
    <n v="40.380555555555553"/>
    <x v="29"/>
    <d v="2021-05-03T00:00:00"/>
    <d v="2021-05-11T00:00:00"/>
    <n v="8"/>
    <d v="2014-10-22T00:00:00"/>
    <n v="6.5305555555555559"/>
    <x v="1"/>
    <x v="3"/>
    <n v="5.84"/>
    <x v="1"/>
    <x v="1"/>
    <x v="0"/>
  </r>
  <r>
    <n v="58"/>
    <s v="MICHAEL"/>
    <s v="ROGERS"/>
    <x v="1"/>
    <d v="1966-07-07T00:00:00"/>
    <n v="54.727777777777774"/>
    <x v="0"/>
    <d v="2021-03-29T00:00:00"/>
    <d v="2021-08-31T00:00:00"/>
    <n v="155"/>
    <d v="2007-07-11T00:00:00"/>
    <n v="13.716666666666667"/>
    <x v="1"/>
    <x v="4"/>
    <n v="116011.61"/>
    <x v="2"/>
    <x v="0"/>
    <x v="2"/>
  </r>
  <r>
    <n v="59"/>
    <s v="EVERARD"/>
    <s v="SIMONPILLAI"/>
    <x v="1"/>
    <d v="1962-02-16T00:00:00"/>
    <n v="59.836111111111109"/>
    <x v="13"/>
    <d v="2021-12-17T00:00:00"/>
    <d v="2021-12-27T00:00:00"/>
    <n v="10"/>
    <d v="1992-03-17T00:00:00"/>
    <n v="29.75"/>
    <x v="1"/>
    <x v="3"/>
    <n v="35053.99"/>
    <x v="3"/>
    <x v="0"/>
    <x v="0"/>
  </r>
  <r>
    <n v="60"/>
    <s v="ROBERT"/>
    <s v="THOMAS"/>
    <x v="1"/>
    <d v="1983-11-08T00:00:00"/>
    <n v="38.022222222222226"/>
    <x v="34"/>
    <d v="2021-11-16T00:00:00"/>
    <d v="2021-11-25T00:00:00"/>
    <n v="9"/>
    <d v="2017-10-19T00:00:00"/>
    <n v="4.0750000000000002"/>
    <x v="2"/>
    <x v="4"/>
    <n v="869.22"/>
    <x v="4"/>
    <x v="0"/>
    <x v="3"/>
  </r>
  <r>
    <n v="61"/>
    <s v="PHILIP"/>
    <s v="USSAT"/>
    <x v="1"/>
    <d v="1965-03-03T00:00:00"/>
    <n v="56"/>
    <x v="38"/>
    <d v="2021-03-03T00:00:00"/>
    <d v="2021-03-10T00:00:00"/>
    <n v="7"/>
    <d v="2017-09-28T00:00:00"/>
    <n v="3.4305555555555554"/>
    <x v="1"/>
    <x v="0"/>
    <n v="26098.31"/>
    <x v="0"/>
    <x v="0"/>
    <x v="3"/>
  </r>
  <r>
    <n v="62"/>
    <s v="MARY"/>
    <s v="VANKEUREN"/>
    <x v="0"/>
    <d v="1963-07-15T00:00:00"/>
    <n v="58.422222222222224"/>
    <x v="22"/>
    <d v="2021-12-17T00:00:00"/>
    <d v="2021-12-28T00:00:00"/>
    <n v="11"/>
    <d v="2021-12-17T00:00:00"/>
    <n v="0"/>
    <x v="1"/>
    <x v="0"/>
    <n v="32940.9"/>
    <x v="1"/>
    <x v="0"/>
    <x v="0"/>
  </r>
  <r>
    <n v="63"/>
    <s v="NOEL"/>
    <s v="VELASCO"/>
    <x v="1"/>
    <d v="1975-06-16T00:00:00"/>
    <n v="46.397222222222226"/>
    <x v="25"/>
    <d v="2021-11-09T00:00:00"/>
    <d v="2021-11-15T00:00:00"/>
    <n v="6"/>
    <d v="2013-08-30T00:00:00"/>
    <n v="8.1916666666666664"/>
    <x v="6"/>
    <x v="3"/>
    <n v="156"/>
    <x v="1"/>
    <x v="0"/>
    <x v="1"/>
  </r>
  <r>
    <n v="64"/>
    <s v="BERNICE"/>
    <s v="WONG"/>
    <x v="0"/>
    <d v="1949-08-20T00:00:00"/>
    <n v="71.827777777777783"/>
    <x v="39"/>
    <d v="2021-06-18T00:00:00"/>
    <d v="2021-10-15T00:00:00"/>
    <n v="119"/>
    <d v="2010-07-01T00:00:00"/>
    <n v="10.963888888888889"/>
    <x v="1"/>
    <x v="4"/>
    <n v="283561.45"/>
    <x v="5"/>
    <x v="1"/>
    <x v="0"/>
  </r>
  <r>
    <n v="65"/>
    <s v="ALEX"/>
    <s v="YOUNG"/>
    <x v="1"/>
    <d v="1985-10-14T00:00:00"/>
    <n v="36.169444444444444"/>
    <x v="6"/>
    <d v="2021-12-15T00:00:00"/>
    <d v="2021-12-27T00:00:00"/>
    <n v="12"/>
    <d v="2007-09-25T00:00:00"/>
    <n v="14.222222222222221"/>
    <x v="10"/>
    <x v="9"/>
    <n v="59991.53"/>
    <x v="5"/>
    <x v="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67A2B4-1027-485F-BB1A-3685E6A23CEC}" name="PivotTable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A7:L13" firstHeaderRow="1" firstDataRow="2" firstDataCol="1" rowPageCount="5" colPageCount="1"/>
  <pivotFields count="18">
    <pivotField dataField="1" numFmtId="165" showAll="0"/>
    <pivotField showAll="0"/>
    <pivotField showAll="0"/>
    <pivotField axis="axisPage" showAll="0">
      <items count="3">
        <item x="0"/>
        <item x="1"/>
        <item t="default"/>
      </items>
    </pivotField>
    <pivotField numFmtId="164" showAll="0"/>
    <pivotField numFmtId="1" showAll="0"/>
    <pivotField axis="axisPage" numFmtId="1" multipleItemSelectionAllowed="1" showAll="0">
      <items count="41">
        <item x="7"/>
        <item x="32"/>
        <item x="27"/>
        <item x="30"/>
        <item x="33"/>
        <item x="6"/>
        <item x="34"/>
        <item x="15"/>
        <item x="29"/>
        <item x="36"/>
        <item x="25"/>
        <item x="23"/>
        <item x="11"/>
        <item x="5"/>
        <item x="26"/>
        <item x="2"/>
        <item x="0"/>
        <item x="28"/>
        <item x="38"/>
        <item x="24"/>
        <item x="22"/>
        <item x="13"/>
        <item x="21"/>
        <item x="3"/>
        <item x="35"/>
        <item x="8"/>
        <item x="14"/>
        <item x="18"/>
        <item x="31"/>
        <item x="12"/>
        <item x="20"/>
        <item x="19"/>
        <item x="39"/>
        <item x="9"/>
        <item x="17"/>
        <item x="4"/>
        <item x="1"/>
        <item x="10"/>
        <item x="37"/>
        <item x="16"/>
        <item t="default"/>
      </items>
    </pivotField>
    <pivotField numFmtId="164" showAll="0"/>
    <pivotField showAll="0"/>
    <pivotField showAll="0"/>
    <pivotField numFmtId="164" showAll="0"/>
    <pivotField numFmtId="166" showAll="0"/>
    <pivotField axis="axisPage" showAll="0">
      <items count="12">
        <item x="4"/>
        <item x="2"/>
        <item x="3"/>
        <item x="8"/>
        <item x="9"/>
        <item x="7"/>
        <item x="10"/>
        <item x="1"/>
        <item x="5"/>
        <item x="0"/>
        <item x="6"/>
        <item t="default"/>
      </items>
    </pivotField>
    <pivotField axis="axisCol" showAll="0">
      <items count="11">
        <item x="6"/>
        <item x="0"/>
        <item x="4"/>
        <item x="5"/>
        <item x="3"/>
        <item x="9"/>
        <item x="2"/>
        <item x="8"/>
        <item x="1"/>
        <item x="7"/>
        <item t="default"/>
      </items>
    </pivotField>
    <pivotField numFmtId="44" showAll="0"/>
    <pivotField axis="axisPage" showAll="0">
      <items count="7">
        <item x="1"/>
        <item x="0"/>
        <item x="4"/>
        <item x="2"/>
        <item x="3"/>
        <item x="5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pageFields count="5">
    <pageField fld="3" hier="-1"/>
    <pageField fld="6" hier="-1"/>
    <pageField fld="12" hier="-1"/>
    <pageField fld="15" hier="-1"/>
    <pageField fld="16" hier="-1"/>
  </pageFields>
  <dataFields count="1">
    <dataField name="Count of CustomerID" fld="0" subtotal="count" baseField="17" baseItem="0"/>
  </dataFields>
  <chartFormats count="35"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0" format="2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5" format="3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5" format="3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5" format="3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5" format="4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5" format="4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5" format="4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5" format="4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5" format="4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5" format="4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  <chartFormat chart="6" format="46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6" format="4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6" format="4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6" format="49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  <chartFormat chart="6" format="5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4"/>
          </reference>
        </references>
      </pivotArea>
    </chartFormat>
    <chartFormat chart="6" format="5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5"/>
          </reference>
        </references>
      </pivotArea>
    </chartFormat>
    <chartFormat chart="6" format="5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6"/>
          </reference>
        </references>
      </pivotArea>
    </chartFormat>
    <chartFormat chart="6" format="5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7"/>
          </reference>
        </references>
      </pivotArea>
    </chartFormat>
    <chartFormat chart="6" format="54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8"/>
          </reference>
        </references>
      </pivotArea>
    </chartFormat>
    <chartFormat chart="6" format="55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DD482-D316-4EF0-9566-9D25A1914940}" name="CreditCardData" displayName="CreditCardData" ref="B2:T67" totalsRowShown="0" headerRowDxfId="19" dataDxfId="17" headerRowBorderDxfId="18">
  <autoFilter ref="B2:T67" xr:uid="{3DDDD482-D316-4EF0-9566-9D25A1914940}"/>
  <sortState xmlns:xlrd2="http://schemas.microsoft.com/office/spreadsheetml/2017/richdata2" ref="B3:T67">
    <sortCondition ref="B2:B67"/>
  </sortState>
  <tableColumns count="19">
    <tableColumn id="1" xr3:uid="{D09042AF-3C99-4658-9CD3-1CA9AF3D1CA1}" name="CustomerID" dataDxfId="16"/>
    <tableColumn id="2" xr3:uid="{CF37F5B1-A5B6-4E14-9916-D8C586FE30BE}" name="First Name"/>
    <tableColumn id="3" xr3:uid="{166CC455-6B2E-467D-9B90-438D01A7779E}" name="Last Name"/>
    <tableColumn id="4" xr3:uid="{1DF12A84-A266-4631-833D-2A595F50544B}" name="Gender" dataDxfId="15"/>
    <tableColumn id="5" xr3:uid="{2A573BA3-C0A9-488F-B56C-94715C395A86}" name="DOB" dataDxfId="14"/>
    <tableColumn id="6" xr3:uid="{3D99CEC3-DE56-4167-B9E3-682785A8AC34}" name="Age at Open" dataDxfId="13">
      <calculatedColumnFormula>YEARFRAC(F3,I3)</calculatedColumnFormula>
    </tableColumn>
    <tableColumn id="19" xr3:uid="{38DB47D4-658E-4CE1-83CF-0774945F93D5}" name="Rounded Age" dataDxfId="12">
      <calculatedColumnFormula>ROUNDDOWN(CreditCardData[[#This Row],[Age at Open]],0)</calculatedColumnFormula>
    </tableColumn>
    <tableColumn id="7" xr3:uid="{6DD8F941-33C0-4906-A899-1FB7837E7563}" name="Open Date" dataDxfId="11"/>
    <tableColumn id="8" xr3:uid="{F8579145-04C0-4E3C-98F4-859C7FB4349E}" name="Activation Date" dataDxfId="10"/>
    <tableColumn id="9" xr3:uid="{347E8692-25B8-4931-B218-2D221F6DE878}" name="# Days until Act" dataDxfId="9">
      <calculatedColumnFormula>IFERROR(_xlfn.DAYS(J3,I3),"N/A")</calculatedColumnFormula>
    </tableColumn>
    <tableColumn id="10" xr3:uid="{4DCF0790-4204-4270-9127-5B407BC236C9}" name="CMA Establish Date" dataDxfId="8"/>
    <tableColumn id="11" xr3:uid="{42788684-0A55-4F9B-89AB-6A754D22CD24}" name="Yrs with Bank at Open" dataDxfId="7">
      <calculatedColumnFormula>YEARFRAC(L3,I3)</calculatedColumnFormula>
    </tableColumn>
    <tableColumn id="18" xr3:uid="{1BE4D2C9-087F-4B6C-AF8D-33C111A3F9CE}" name="Rounded Yrs with Bank" dataDxfId="6">
      <calculatedColumnFormula>ROUNDDOWN(CreditCardData[[#This Row],[Yrs with Bank at Open]],0)</calculatedColumnFormula>
    </tableColumn>
    <tableColumn id="12" xr3:uid="{DF2DAAB1-2FB2-49A4-BD5A-F16A893000FB}" name="Address" dataDxfId="5"/>
    <tableColumn id="13" xr3:uid="{F533EACE-F00D-441D-BBD3-48F69605A4D5}" name="Home Branch" dataDxfId="4"/>
    <tableColumn id="14" xr3:uid="{54728B69-C73F-45F3-B505-226E45948E73}" name="Balance of Deposits" dataDxfId="3" dataCellStyle="Currency"/>
    <tableColumn id="15" xr3:uid="{1BB8A178-2808-40F0-8BE1-5806AA59B6F5}" name="# of Deposit Accounts" dataDxfId="2"/>
    <tableColumn id="16" xr3:uid="{567029D8-F28F-4722-B984-2B3BBD6E6A27}" name="# of Credit Cards" dataDxfId="1"/>
    <tableColumn id="17" xr3:uid="{A89F9959-5A72-4130-A674-746ACDC2EEF2}" name="Card Typ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0186-D9A0-4344-AE7B-347C451315C7}">
  <dimension ref="A1"/>
  <sheetViews>
    <sheetView workbookViewId="0">
      <selection activeCell="Q12" sqref="Q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7E20-C4A1-412C-8876-56C3256AA04F}">
  <dimension ref="B2:T67"/>
  <sheetViews>
    <sheetView topLeftCell="B1" workbookViewId="0">
      <selection activeCell="A3" sqref="A3"/>
    </sheetView>
  </sheetViews>
  <sheetFormatPr defaultRowHeight="15" x14ac:dyDescent="0.25"/>
  <cols>
    <col min="1" max="1" width="6.5703125" customWidth="1"/>
    <col min="2" max="2" width="13.7109375" bestFit="1" customWidth="1"/>
    <col min="3" max="3" width="12.85546875" bestFit="1" customWidth="1"/>
    <col min="4" max="4" width="20.42578125" bestFit="1" customWidth="1"/>
    <col min="5" max="5" width="10" bestFit="1" customWidth="1"/>
    <col min="6" max="6" width="8.7109375" bestFit="1" customWidth="1"/>
    <col min="7" max="7" width="14.140625" bestFit="1" customWidth="1"/>
    <col min="8" max="8" width="15.140625" bestFit="1" customWidth="1"/>
    <col min="9" max="9" width="12.7109375" bestFit="1" customWidth="1"/>
    <col min="10" max="10" width="17" bestFit="1" customWidth="1"/>
    <col min="11" max="11" width="16.85546875" bestFit="1" customWidth="1"/>
    <col min="12" max="12" width="20.7109375" bestFit="1" customWidth="1"/>
    <col min="13" max="13" width="22.85546875" bestFit="1" customWidth="1"/>
    <col min="14" max="14" width="24" bestFit="1" customWidth="1"/>
    <col min="15" max="15" width="14.42578125" bestFit="1" customWidth="1"/>
    <col min="16" max="16" width="17.7109375" bestFit="1" customWidth="1"/>
    <col min="17" max="17" width="20.85546875" bestFit="1" customWidth="1"/>
    <col min="18" max="18" width="22.5703125" bestFit="1" customWidth="1"/>
    <col min="19" max="19" width="17.85546875" bestFit="1" customWidth="1"/>
    <col min="20" max="20" width="32" bestFit="1" customWidth="1"/>
  </cols>
  <sheetData>
    <row r="2" spans="2:20" x14ac:dyDescent="0.25">
      <c r="B2" s="26" t="s">
        <v>161</v>
      </c>
      <c r="C2" s="27" t="s">
        <v>0</v>
      </c>
      <c r="D2" s="27" t="s">
        <v>1</v>
      </c>
      <c r="E2" s="27" t="s">
        <v>2</v>
      </c>
      <c r="F2" s="27" t="s">
        <v>3</v>
      </c>
      <c r="G2" s="27" t="s">
        <v>82</v>
      </c>
      <c r="H2" s="27" t="s">
        <v>194</v>
      </c>
      <c r="I2" s="27" t="s">
        <v>4</v>
      </c>
      <c r="J2" s="27" t="s">
        <v>162</v>
      </c>
      <c r="K2" s="27" t="s">
        <v>169</v>
      </c>
      <c r="L2" s="27" t="s">
        <v>81</v>
      </c>
      <c r="M2" s="27" t="s">
        <v>93</v>
      </c>
      <c r="N2" s="27" t="s">
        <v>206</v>
      </c>
      <c r="O2" s="27" t="s">
        <v>80</v>
      </c>
      <c r="P2" s="27" t="s">
        <v>5</v>
      </c>
      <c r="Q2" s="27" t="s">
        <v>90</v>
      </c>
      <c r="R2" s="27" t="s">
        <v>91</v>
      </c>
      <c r="S2" s="28" t="s">
        <v>92</v>
      </c>
      <c r="T2" s="29" t="s">
        <v>83</v>
      </c>
    </row>
    <row r="3" spans="2:20" x14ac:dyDescent="0.25">
      <c r="B3" s="11">
        <v>1</v>
      </c>
      <c r="C3" s="12" t="s">
        <v>6</v>
      </c>
      <c r="D3" s="12" t="s">
        <v>42</v>
      </c>
      <c r="E3" s="13" t="s">
        <v>78</v>
      </c>
      <c r="F3" s="14">
        <v>24742</v>
      </c>
      <c r="G3" s="78">
        <f t="shared" ref="G3:G34" si="0">YEARFRAC(F3,I3)</f>
        <v>54.711111111111109</v>
      </c>
      <c r="H3" s="38">
        <f>ROUNDDOWN(CreditCardData[[#This Row],[Age at Open]],0)</f>
        <v>54</v>
      </c>
      <c r="I3" s="15">
        <v>44725</v>
      </c>
      <c r="J3" s="15" t="s">
        <v>163</v>
      </c>
      <c r="K3" s="30" t="str">
        <f t="shared" ref="K3:K34" si="1">IFERROR(_xlfn.DAYS(J3,I3),"N/A")</f>
        <v>N/A</v>
      </c>
      <c r="L3" s="15">
        <v>44419</v>
      </c>
      <c r="M3" s="32">
        <f t="shared" ref="M3:M34" si="2">YEARFRAC(L3,I3)</f>
        <v>0.83888888888888891</v>
      </c>
      <c r="N3" s="30">
        <f>ROUNDDOWN(CreditCardData[[#This Row],[Yrs with Bank at Open]],0)</f>
        <v>0</v>
      </c>
      <c r="O3" s="12" t="s">
        <v>88</v>
      </c>
      <c r="P3" s="12" t="s">
        <v>89</v>
      </c>
      <c r="Q3" s="16">
        <v>100790.47</v>
      </c>
      <c r="R3" s="13">
        <v>2</v>
      </c>
      <c r="S3" s="13">
        <v>0</v>
      </c>
      <c r="T3" s="17" t="s">
        <v>84</v>
      </c>
    </row>
    <row r="4" spans="2:20" x14ac:dyDescent="0.25">
      <c r="B4" s="18">
        <v>2</v>
      </c>
      <c r="C4" s="2" t="s">
        <v>7</v>
      </c>
      <c r="D4" s="6" t="s">
        <v>43</v>
      </c>
      <c r="E4" s="8" t="s">
        <v>78</v>
      </c>
      <c r="F4" s="3">
        <v>15067</v>
      </c>
      <c r="G4" s="79">
        <f t="shared" si="0"/>
        <v>81.269444444444446</v>
      </c>
      <c r="H4" s="39">
        <f>ROUNDDOWN(CreditCardData[[#This Row],[Age at Open]],0)</f>
        <v>81</v>
      </c>
      <c r="I4" s="4">
        <v>44750</v>
      </c>
      <c r="J4" s="4">
        <v>44758</v>
      </c>
      <c r="K4" s="9">
        <f t="shared" si="1"/>
        <v>8</v>
      </c>
      <c r="L4" s="4">
        <v>27337</v>
      </c>
      <c r="M4" s="33">
        <f t="shared" si="2"/>
        <v>47.677777777777777</v>
      </c>
      <c r="N4" s="9">
        <f>ROUNDDOWN(CreditCardData[[#This Row],[Yrs with Bank at Open]],0)</f>
        <v>47</v>
      </c>
      <c r="O4" s="2" t="s">
        <v>94</v>
      </c>
      <c r="P4" s="2" t="s">
        <v>89</v>
      </c>
      <c r="Q4" s="5">
        <v>11910.6</v>
      </c>
      <c r="R4" s="8">
        <v>2</v>
      </c>
      <c r="S4" s="8">
        <v>0</v>
      </c>
      <c r="T4" s="19" t="s">
        <v>85</v>
      </c>
    </row>
    <row r="5" spans="2:20" x14ac:dyDescent="0.25">
      <c r="B5" s="18">
        <v>3</v>
      </c>
      <c r="C5" s="2" t="s">
        <v>8</v>
      </c>
      <c r="D5" s="2" t="s">
        <v>44</v>
      </c>
      <c r="E5" s="8" t="s">
        <v>78</v>
      </c>
      <c r="F5" s="3">
        <v>24921</v>
      </c>
      <c r="G5" s="79">
        <f t="shared" si="0"/>
        <v>53.822222222222223</v>
      </c>
      <c r="H5" s="39">
        <f>ROUNDDOWN(CreditCardData[[#This Row],[Age at Open]],0)</f>
        <v>53</v>
      </c>
      <c r="I5" s="4">
        <v>44581</v>
      </c>
      <c r="J5" s="4">
        <v>44588</v>
      </c>
      <c r="K5" s="9">
        <f t="shared" si="1"/>
        <v>7</v>
      </c>
      <c r="L5" s="4">
        <v>44375</v>
      </c>
      <c r="M5" s="33">
        <f t="shared" si="2"/>
        <v>0.56111111111111112</v>
      </c>
      <c r="N5" s="9">
        <f>ROUNDDOWN(CreditCardData[[#This Row],[Yrs with Bank at Open]],0)</f>
        <v>0</v>
      </c>
      <c r="O5" s="2" t="s">
        <v>89</v>
      </c>
      <c r="P5" s="2" t="s">
        <v>89</v>
      </c>
      <c r="Q5" s="5">
        <v>13.81</v>
      </c>
      <c r="R5" s="8">
        <v>2</v>
      </c>
      <c r="S5" s="8">
        <v>0</v>
      </c>
      <c r="T5" s="19" t="s">
        <v>84</v>
      </c>
    </row>
    <row r="6" spans="2:20" x14ac:dyDescent="0.25">
      <c r="B6" s="18">
        <v>4</v>
      </c>
      <c r="C6" s="2" t="s">
        <v>9</v>
      </c>
      <c r="D6" s="2" t="s">
        <v>45</v>
      </c>
      <c r="E6" s="8" t="s">
        <v>78</v>
      </c>
      <c r="F6" s="3">
        <v>22320</v>
      </c>
      <c r="G6" s="79">
        <f t="shared" si="0"/>
        <v>61.366666666666667</v>
      </c>
      <c r="H6" s="39">
        <f>ROUNDDOWN(CreditCardData[[#This Row],[Age at Open]],0)</f>
        <v>61</v>
      </c>
      <c r="I6" s="4">
        <v>44732</v>
      </c>
      <c r="J6" s="4">
        <v>44740</v>
      </c>
      <c r="K6" s="9">
        <f t="shared" si="1"/>
        <v>8</v>
      </c>
      <c r="L6" s="4">
        <v>42954</v>
      </c>
      <c r="M6" s="33">
        <f t="shared" si="2"/>
        <v>4.8694444444444445</v>
      </c>
      <c r="N6" s="9">
        <f>ROUNDDOWN(CreditCardData[[#This Row],[Yrs with Bank at Open]],0)</f>
        <v>4</v>
      </c>
      <c r="O6" s="2" t="s">
        <v>95</v>
      </c>
      <c r="P6" s="2" t="s">
        <v>96</v>
      </c>
      <c r="Q6" s="5">
        <v>3515.96</v>
      </c>
      <c r="R6" s="8">
        <v>2</v>
      </c>
      <c r="S6" s="8">
        <v>0</v>
      </c>
      <c r="T6" s="19" t="s">
        <v>84</v>
      </c>
    </row>
    <row r="7" spans="2:20" x14ac:dyDescent="0.25">
      <c r="B7" s="18">
        <v>5</v>
      </c>
      <c r="C7" s="2" t="s">
        <v>10</v>
      </c>
      <c r="D7" s="2" t="s">
        <v>46</v>
      </c>
      <c r="E7" s="8" t="s">
        <v>79</v>
      </c>
      <c r="F7" s="3">
        <v>15598</v>
      </c>
      <c r="G7" s="79">
        <f t="shared" si="0"/>
        <v>79.344444444444449</v>
      </c>
      <c r="H7" s="39">
        <f>ROUNDDOWN(CreditCardData[[#This Row],[Age at Open]],0)</f>
        <v>79</v>
      </c>
      <c r="I7" s="4">
        <v>44579</v>
      </c>
      <c r="J7" s="4">
        <v>44621</v>
      </c>
      <c r="K7" s="9">
        <f t="shared" si="1"/>
        <v>42</v>
      </c>
      <c r="L7" s="4">
        <v>34857</v>
      </c>
      <c r="M7" s="33">
        <f t="shared" si="2"/>
        <v>26.613888888888887</v>
      </c>
      <c r="N7" s="9">
        <f>ROUNDDOWN(CreditCardData[[#This Row],[Yrs with Bank at Open]],0)</f>
        <v>26</v>
      </c>
      <c r="O7" s="2" t="s">
        <v>97</v>
      </c>
      <c r="P7" s="2" t="s">
        <v>89</v>
      </c>
      <c r="Q7" s="5">
        <v>40339.050000000003</v>
      </c>
      <c r="R7" s="8">
        <v>1</v>
      </c>
      <c r="S7" s="8">
        <v>0</v>
      </c>
      <c r="T7" s="19" t="s">
        <v>86</v>
      </c>
    </row>
    <row r="8" spans="2:20" x14ac:dyDescent="0.25">
      <c r="B8" s="18">
        <v>6</v>
      </c>
      <c r="C8" s="2" t="s">
        <v>11</v>
      </c>
      <c r="D8" s="2" t="s">
        <v>47</v>
      </c>
      <c r="E8" s="8" t="s">
        <v>78</v>
      </c>
      <c r="F8" s="3">
        <v>25969</v>
      </c>
      <c r="G8" s="79">
        <f t="shared" si="0"/>
        <v>51.108333333333334</v>
      </c>
      <c r="H8" s="39">
        <f>ROUNDDOWN(CreditCardData[[#This Row],[Age at Open]],0)</f>
        <v>51</v>
      </c>
      <c r="I8" s="4">
        <v>44634</v>
      </c>
      <c r="J8" s="4">
        <v>44645</v>
      </c>
      <c r="K8" s="9">
        <f t="shared" si="1"/>
        <v>11</v>
      </c>
      <c r="L8" s="4">
        <v>42845</v>
      </c>
      <c r="M8" s="33">
        <f t="shared" si="2"/>
        <v>4.9000000000000004</v>
      </c>
      <c r="N8" s="9">
        <f>ROUNDDOWN(CreditCardData[[#This Row],[Yrs with Bank at Open]],0)</f>
        <v>4</v>
      </c>
      <c r="O8" s="2" t="s">
        <v>94</v>
      </c>
      <c r="P8" s="2" t="s">
        <v>89</v>
      </c>
      <c r="Q8" s="5">
        <v>4565.47</v>
      </c>
      <c r="R8" s="8">
        <v>1</v>
      </c>
      <c r="S8" s="8">
        <v>0</v>
      </c>
      <c r="T8" s="19" t="s">
        <v>84</v>
      </c>
    </row>
    <row r="9" spans="2:20" x14ac:dyDescent="0.25">
      <c r="B9" s="18">
        <v>7</v>
      </c>
      <c r="C9" s="2" t="s">
        <v>12</v>
      </c>
      <c r="D9" s="2" t="s">
        <v>48</v>
      </c>
      <c r="E9" s="8" t="s">
        <v>79</v>
      </c>
      <c r="F9" s="3">
        <v>31285</v>
      </c>
      <c r="G9" s="79">
        <f t="shared" si="0"/>
        <v>36.711111111111109</v>
      </c>
      <c r="H9" s="39">
        <f>ROUNDDOWN(CreditCardData[[#This Row],[Age at Open]],0)</f>
        <v>36</v>
      </c>
      <c r="I9" s="4">
        <v>44693</v>
      </c>
      <c r="J9" s="4">
        <v>44721</v>
      </c>
      <c r="K9" s="9">
        <f t="shared" si="1"/>
        <v>28</v>
      </c>
      <c r="L9" s="4">
        <v>40520</v>
      </c>
      <c r="M9" s="33">
        <f t="shared" si="2"/>
        <v>11.427777777777777</v>
      </c>
      <c r="N9" s="9">
        <f>ROUNDDOWN(CreditCardData[[#This Row],[Yrs with Bank at Open]],0)</f>
        <v>11</v>
      </c>
      <c r="O9" s="2" t="s">
        <v>98</v>
      </c>
      <c r="P9" s="2" t="s">
        <v>98</v>
      </c>
      <c r="Q9" s="5">
        <v>57867.99</v>
      </c>
      <c r="R9" s="8">
        <v>4</v>
      </c>
      <c r="S9" s="8">
        <v>0</v>
      </c>
      <c r="T9" s="19" t="s">
        <v>87</v>
      </c>
    </row>
    <row r="10" spans="2:20" x14ac:dyDescent="0.25">
      <c r="B10" s="18">
        <v>8</v>
      </c>
      <c r="C10" s="2" t="s">
        <v>13</v>
      </c>
      <c r="D10" s="6" t="s">
        <v>49</v>
      </c>
      <c r="E10" s="8" t="s">
        <v>79</v>
      </c>
      <c r="F10" s="3">
        <v>36945</v>
      </c>
      <c r="G10" s="79">
        <f t="shared" si="0"/>
        <v>21.294444444444444</v>
      </c>
      <c r="H10" s="39">
        <f>ROUNDDOWN(CreditCardData[[#This Row],[Age at Open]],0)</f>
        <v>21</v>
      </c>
      <c r="I10" s="4">
        <v>44721</v>
      </c>
      <c r="J10" s="4">
        <v>44728</v>
      </c>
      <c r="K10" s="9">
        <f t="shared" si="1"/>
        <v>7</v>
      </c>
      <c r="L10" s="4">
        <v>42814</v>
      </c>
      <c r="M10" s="33">
        <f t="shared" si="2"/>
        <v>5.2194444444444441</v>
      </c>
      <c r="N10" s="9">
        <f>ROUNDDOWN(CreditCardData[[#This Row],[Yrs with Bank at Open]],0)</f>
        <v>5</v>
      </c>
      <c r="O10" s="2" t="s">
        <v>89</v>
      </c>
      <c r="P10" s="2" t="s">
        <v>99</v>
      </c>
      <c r="Q10" s="5">
        <v>6801.82</v>
      </c>
      <c r="R10" s="8">
        <v>2</v>
      </c>
      <c r="S10" s="8">
        <v>0</v>
      </c>
      <c r="T10" s="19" t="s">
        <v>87</v>
      </c>
    </row>
    <row r="11" spans="2:20" x14ac:dyDescent="0.25">
      <c r="B11" s="18">
        <v>9</v>
      </c>
      <c r="C11" s="2" t="s">
        <v>14</v>
      </c>
      <c r="D11" s="6" t="s">
        <v>50</v>
      </c>
      <c r="E11" s="8" t="s">
        <v>78</v>
      </c>
      <c r="F11" s="3">
        <v>21569</v>
      </c>
      <c r="G11" s="79">
        <f t="shared" si="0"/>
        <v>63.530555555555559</v>
      </c>
      <c r="H11" s="39">
        <f>ROUNDDOWN(CreditCardData[[#This Row],[Age at Open]],0)</f>
        <v>63</v>
      </c>
      <c r="I11" s="4">
        <v>44772</v>
      </c>
      <c r="J11" s="4">
        <v>44788</v>
      </c>
      <c r="K11" s="9">
        <f t="shared" si="1"/>
        <v>16</v>
      </c>
      <c r="L11" s="4">
        <v>32898</v>
      </c>
      <c r="M11" s="33">
        <f t="shared" si="2"/>
        <v>32.513888888888886</v>
      </c>
      <c r="N11" s="9">
        <f>ROUNDDOWN(CreditCardData[[#This Row],[Yrs with Bank at Open]],0)</f>
        <v>32</v>
      </c>
      <c r="O11" s="2" t="s">
        <v>96</v>
      </c>
      <c r="P11" s="2" t="s">
        <v>96</v>
      </c>
      <c r="Q11" s="5">
        <v>28220.53</v>
      </c>
      <c r="R11" s="8">
        <v>5</v>
      </c>
      <c r="S11" s="8">
        <v>1</v>
      </c>
      <c r="T11" s="19" t="s">
        <v>84</v>
      </c>
    </row>
    <row r="12" spans="2:20" x14ac:dyDescent="0.25">
      <c r="B12" s="18">
        <v>10</v>
      </c>
      <c r="C12" s="2" t="s">
        <v>15</v>
      </c>
      <c r="D12" s="2" t="s">
        <v>51</v>
      </c>
      <c r="E12" s="8" t="s">
        <v>79</v>
      </c>
      <c r="F12" s="3">
        <v>17614</v>
      </c>
      <c r="G12" s="79">
        <f t="shared" si="0"/>
        <v>73.8</v>
      </c>
      <c r="H12" s="39">
        <f>ROUNDDOWN(CreditCardData[[#This Row],[Age at Open]],0)</f>
        <v>73</v>
      </c>
      <c r="I12" s="4">
        <v>44571</v>
      </c>
      <c r="J12" s="4">
        <v>44576</v>
      </c>
      <c r="K12" s="9">
        <f t="shared" si="1"/>
        <v>5</v>
      </c>
      <c r="L12" s="4">
        <v>39072</v>
      </c>
      <c r="M12" s="33">
        <f t="shared" si="2"/>
        <v>15.052777777777777</v>
      </c>
      <c r="N12" s="9">
        <f>ROUNDDOWN(CreditCardData[[#This Row],[Yrs with Bank at Open]],0)</f>
        <v>15</v>
      </c>
      <c r="O12" s="2" t="s">
        <v>94</v>
      </c>
      <c r="P12" s="2" t="s">
        <v>99</v>
      </c>
      <c r="Q12" s="5">
        <v>48345.47</v>
      </c>
      <c r="R12" s="8">
        <v>2</v>
      </c>
      <c r="S12" s="8">
        <v>0</v>
      </c>
      <c r="T12" s="19" t="s">
        <v>84</v>
      </c>
    </row>
    <row r="13" spans="2:20" x14ac:dyDescent="0.25">
      <c r="B13" s="18">
        <v>11</v>
      </c>
      <c r="C13" s="2" t="s">
        <v>16</v>
      </c>
      <c r="D13" s="6" t="s">
        <v>52</v>
      </c>
      <c r="E13" s="8" t="s">
        <v>78</v>
      </c>
      <c r="F13" s="3">
        <v>14739</v>
      </c>
      <c r="G13" s="79">
        <f t="shared" si="0"/>
        <v>82.186111111111117</v>
      </c>
      <c r="H13" s="39">
        <f>ROUNDDOWN(CreditCardData[[#This Row],[Age at Open]],0)</f>
        <v>82</v>
      </c>
      <c r="I13" s="4">
        <v>44757</v>
      </c>
      <c r="J13" s="4">
        <v>44775</v>
      </c>
      <c r="K13" s="9">
        <f t="shared" si="1"/>
        <v>18</v>
      </c>
      <c r="L13" s="4">
        <v>34002</v>
      </c>
      <c r="M13" s="33">
        <f t="shared" si="2"/>
        <v>29.452777777777779</v>
      </c>
      <c r="N13" s="9">
        <f>ROUNDDOWN(CreditCardData[[#This Row],[Yrs with Bank at Open]],0)</f>
        <v>29</v>
      </c>
      <c r="O13" s="2" t="s">
        <v>88</v>
      </c>
      <c r="P13" s="2" t="s">
        <v>89</v>
      </c>
      <c r="Q13" s="5">
        <v>573.54999999999995</v>
      </c>
      <c r="R13" s="8">
        <v>1</v>
      </c>
      <c r="S13" s="8">
        <v>0</v>
      </c>
      <c r="T13" s="19" t="s">
        <v>84</v>
      </c>
    </row>
    <row r="14" spans="2:20" x14ac:dyDescent="0.25">
      <c r="B14" s="18">
        <v>12</v>
      </c>
      <c r="C14" s="2" t="s">
        <v>17</v>
      </c>
      <c r="D14" s="2" t="s">
        <v>53</v>
      </c>
      <c r="E14" s="8" t="s">
        <v>78</v>
      </c>
      <c r="F14" s="3">
        <v>26221</v>
      </c>
      <c r="G14" s="79">
        <f t="shared" si="0"/>
        <v>50.297222222222224</v>
      </c>
      <c r="H14" s="39">
        <f>ROUNDDOWN(CreditCardData[[#This Row],[Age at Open]],0)</f>
        <v>50</v>
      </c>
      <c r="I14" s="4">
        <v>44594</v>
      </c>
      <c r="J14" s="4">
        <v>44603</v>
      </c>
      <c r="K14" s="9">
        <f t="shared" si="1"/>
        <v>9</v>
      </c>
      <c r="L14" s="4">
        <v>42396</v>
      </c>
      <c r="M14" s="33">
        <f t="shared" si="2"/>
        <v>6.0138888888888893</v>
      </c>
      <c r="N14" s="9">
        <f>ROUNDDOWN(CreditCardData[[#This Row],[Yrs with Bank at Open]],0)</f>
        <v>6</v>
      </c>
      <c r="O14" s="2" t="s">
        <v>94</v>
      </c>
      <c r="P14" s="2" t="s">
        <v>99</v>
      </c>
      <c r="Q14" s="5">
        <v>-4.82</v>
      </c>
      <c r="R14" s="8">
        <v>2</v>
      </c>
      <c r="S14" s="8">
        <v>1</v>
      </c>
      <c r="T14" s="19" t="s">
        <v>84</v>
      </c>
    </row>
    <row r="15" spans="2:20" x14ac:dyDescent="0.25">
      <c r="B15" s="18">
        <v>13</v>
      </c>
      <c r="C15" s="2" t="s">
        <v>18</v>
      </c>
      <c r="D15" s="2" t="s">
        <v>54</v>
      </c>
      <c r="E15" s="8" t="s">
        <v>79</v>
      </c>
      <c r="F15" s="3">
        <v>19962</v>
      </c>
      <c r="G15" s="79">
        <f t="shared" si="0"/>
        <v>67.469444444444449</v>
      </c>
      <c r="H15" s="39">
        <f>ROUNDDOWN(CreditCardData[[#This Row],[Age at Open]],0)</f>
        <v>67</v>
      </c>
      <c r="I15" s="4">
        <v>44607</v>
      </c>
      <c r="J15" s="4">
        <v>44609</v>
      </c>
      <c r="K15" s="9">
        <f t="shared" si="1"/>
        <v>2</v>
      </c>
      <c r="L15" s="4">
        <v>32007</v>
      </c>
      <c r="M15" s="33">
        <f t="shared" si="2"/>
        <v>34.491666666666667</v>
      </c>
      <c r="N15" s="9">
        <f>ROUNDDOWN(CreditCardData[[#This Row],[Yrs with Bank at Open]],0)</f>
        <v>34</v>
      </c>
      <c r="O15" s="2" t="s">
        <v>97</v>
      </c>
      <c r="P15" s="2" t="s">
        <v>89</v>
      </c>
      <c r="Q15" s="5">
        <v>10778.69</v>
      </c>
      <c r="R15" s="8">
        <v>1</v>
      </c>
      <c r="S15" s="8">
        <v>0</v>
      </c>
      <c r="T15" s="19" t="s">
        <v>84</v>
      </c>
    </row>
    <row r="16" spans="2:20" x14ac:dyDescent="0.25">
      <c r="B16" s="18">
        <v>14</v>
      </c>
      <c r="C16" s="2" t="s">
        <v>19</v>
      </c>
      <c r="D16" s="2" t="s">
        <v>55</v>
      </c>
      <c r="E16" s="8" t="s">
        <v>79</v>
      </c>
      <c r="F16" s="3">
        <v>17628</v>
      </c>
      <c r="G16" s="79">
        <f t="shared" si="0"/>
        <v>73.944444444444443</v>
      </c>
      <c r="H16" s="39">
        <f>ROUNDDOWN(CreditCardData[[#This Row],[Age at Open]],0)</f>
        <v>73</v>
      </c>
      <c r="I16" s="4">
        <v>44635</v>
      </c>
      <c r="J16" s="4">
        <v>44656</v>
      </c>
      <c r="K16" s="9">
        <f t="shared" si="1"/>
        <v>21</v>
      </c>
      <c r="L16" s="4">
        <v>41582</v>
      </c>
      <c r="M16" s="33">
        <f t="shared" si="2"/>
        <v>8.3638888888888889</v>
      </c>
      <c r="N16" s="9">
        <f>ROUNDDOWN(CreditCardData[[#This Row],[Yrs with Bank at Open]],0)</f>
        <v>8</v>
      </c>
      <c r="O16" s="2" t="s">
        <v>89</v>
      </c>
      <c r="P16" s="2" t="s">
        <v>100</v>
      </c>
      <c r="Q16" s="5">
        <v>1268.47</v>
      </c>
      <c r="R16" s="8">
        <v>2</v>
      </c>
      <c r="S16" s="8">
        <v>0</v>
      </c>
      <c r="T16" s="19" t="s">
        <v>87</v>
      </c>
    </row>
    <row r="17" spans="2:20" x14ac:dyDescent="0.25">
      <c r="B17" s="18">
        <v>15</v>
      </c>
      <c r="C17" s="2" t="s">
        <v>20</v>
      </c>
      <c r="D17" s="6" t="s">
        <v>56</v>
      </c>
      <c r="E17" s="8" t="s">
        <v>78</v>
      </c>
      <c r="F17" s="3">
        <v>22895</v>
      </c>
      <c r="G17" s="79">
        <f t="shared" si="0"/>
        <v>59.75</v>
      </c>
      <c r="H17" s="39">
        <f>ROUNDDOWN(CreditCardData[[#This Row],[Age at Open]],0)</f>
        <v>59</v>
      </c>
      <c r="I17" s="4">
        <v>44718</v>
      </c>
      <c r="J17" s="4">
        <v>44725</v>
      </c>
      <c r="K17" s="9">
        <f t="shared" si="1"/>
        <v>7</v>
      </c>
      <c r="L17" s="4">
        <v>34057</v>
      </c>
      <c r="M17" s="33">
        <f t="shared" si="2"/>
        <v>29.18611111111111</v>
      </c>
      <c r="N17" s="9">
        <f>ROUNDDOWN(CreditCardData[[#This Row],[Yrs with Bank at Open]],0)</f>
        <v>29</v>
      </c>
      <c r="O17" s="2" t="s">
        <v>94</v>
      </c>
      <c r="P17" s="2" t="s">
        <v>89</v>
      </c>
      <c r="Q17" s="5">
        <v>24058.98</v>
      </c>
      <c r="R17" s="8">
        <v>2</v>
      </c>
      <c r="S17" s="8">
        <v>0</v>
      </c>
      <c r="T17" s="19" t="s">
        <v>84</v>
      </c>
    </row>
    <row r="18" spans="2:20" x14ac:dyDescent="0.25">
      <c r="B18" s="18">
        <v>16</v>
      </c>
      <c r="C18" s="2" t="s">
        <v>21</v>
      </c>
      <c r="D18" s="2" t="s">
        <v>57</v>
      </c>
      <c r="E18" s="8" t="s">
        <v>78</v>
      </c>
      <c r="F18" s="3">
        <v>21275</v>
      </c>
      <c r="G18" s="79">
        <f t="shared" si="0"/>
        <v>64.322222222222223</v>
      </c>
      <c r="H18" s="39">
        <f>ROUNDDOWN(CreditCardData[[#This Row],[Age at Open]],0)</f>
        <v>64</v>
      </c>
      <c r="I18" s="4">
        <v>44768</v>
      </c>
      <c r="J18" s="4">
        <v>44788</v>
      </c>
      <c r="K18" s="9">
        <f t="shared" si="1"/>
        <v>20</v>
      </c>
      <c r="L18" s="4">
        <v>39337</v>
      </c>
      <c r="M18" s="33">
        <f t="shared" si="2"/>
        <v>14.872222222222222</v>
      </c>
      <c r="N18" s="9">
        <f>ROUNDDOWN(CreditCardData[[#This Row],[Yrs with Bank at Open]],0)</f>
        <v>14</v>
      </c>
      <c r="O18" s="2" t="s">
        <v>89</v>
      </c>
      <c r="P18" s="2" t="s">
        <v>89</v>
      </c>
      <c r="Q18" s="5">
        <v>644.45000000000005</v>
      </c>
      <c r="R18" s="8">
        <v>1</v>
      </c>
      <c r="S18" s="8">
        <v>0</v>
      </c>
      <c r="T18" s="19" t="s">
        <v>84</v>
      </c>
    </row>
    <row r="19" spans="2:20" x14ac:dyDescent="0.25">
      <c r="B19" s="18">
        <v>17</v>
      </c>
      <c r="C19" s="2" t="s">
        <v>22</v>
      </c>
      <c r="D19" s="2" t="s">
        <v>58</v>
      </c>
      <c r="E19" s="8" t="s">
        <v>78</v>
      </c>
      <c r="F19" s="3">
        <v>14554</v>
      </c>
      <c r="G19" s="79">
        <f t="shared" si="0"/>
        <v>82.597222222222229</v>
      </c>
      <c r="H19" s="39">
        <f>ROUNDDOWN(CreditCardData[[#This Row],[Age at Open]],0)</f>
        <v>82</v>
      </c>
      <c r="I19" s="4">
        <v>44722</v>
      </c>
      <c r="J19" s="4">
        <v>44732</v>
      </c>
      <c r="K19" s="9">
        <f t="shared" si="1"/>
        <v>10</v>
      </c>
      <c r="L19" s="4">
        <v>34640</v>
      </c>
      <c r="M19" s="33">
        <f t="shared" si="2"/>
        <v>27.605555555555554</v>
      </c>
      <c r="N19" s="9">
        <f>ROUNDDOWN(CreditCardData[[#This Row],[Yrs with Bank at Open]],0)</f>
        <v>27</v>
      </c>
      <c r="O19" s="2" t="s">
        <v>88</v>
      </c>
      <c r="P19" s="2" t="s">
        <v>89</v>
      </c>
      <c r="Q19" s="5">
        <v>11850.77</v>
      </c>
      <c r="R19" s="8">
        <v>2</v>
      </c>
      <c r="S19" s="8">
        <v>0</v>
      </c>
      <c r="T19" s="19" t="s">
        <v>84</v>
      </c>
    </row>
    <row r="20" spans="2:20" x14ac:dyDescent="0.25">
      <c r="B20" s="18">
        <v>18</v>
      </c>
      <c r="C20" s="2" t="s">
        <v>23</v>
      </c>
      <c r="D20" s="6" t="s">
        <v>59</v>
      </c>
      <c r="E20" s="8" t="s">
        <v>79</v>
      </c>
      <c r="F20" s="3">
        <v>30197</v>
      </c>
      <c r="G20" s="79">
        <f t="shared" si="0"/>
        <v>39.908333333333331</v>
      </c>
      <c r="H20" s="39">
        <f>ROUNDDOWN(CreditCardData[[#This Row],[Age at Open]],0)</f>
        <v>39</v>
      </c>
      <c r="I20" s="4">
        <v>44772</v>
      </c>
      <c r="J20" s="4">
        <v>44780</v>
      </c>
      <c r="K20" s="9">
        <f t="shared" si="1"/>
        <v>8</v>
      </c>
      <c r="L20" s="4">
        <v>42542</v>
      </c>
      <c r="M20" s="33">
        <f t="shared" si="2"/>
        <v>6.1083333333333334</v>
      </c>
      <c r="N20" s="9">
        <f>ROUNDDOWN(CreditCardData[[#This Row],[Yrs with Bank at Open]],0)</f>
        <v>6</v>
      </c>
      <c r="O20" s="2" t="s">
        <v>94</v>
      </c>
      <c r="P20" s="2" t="s">
        <v>89</v>
      </c>
      <c r="Q20" s="5">
        <v>900.1</v>
      </c>
      <c r="R20" s="8">
        <v>1</v>
      </c>
      <c r="S20" s="8">
        <v>0</v>
      </c>
      <c r="T20" s="19" t="s">
        <v>84</v>
      </c>
    </row>
    <row r="21" spans="2:20" x14ac:dyDescent="0.25">
      <c r="B21" s="18">
        <v>19</v>
      </c>
      <c r="C21" s="2" t="s">
        <v>24</v>
      </c>
      <c r="D21" s="2" t="s">
        <v>60</v>
      </c>
      <c r="E21" s="8" t="s">
        <v>78</v>
      </c>
      <c r="F21" s="3">
        <v>13138</v>
      </c>
      <c r="G21" s="79">
        <f t="shared" si="0"/>
        <v>86.161111111111111</v>
      </c>
      <c r="H21" s="39">
        <f>ROUNDDOWN(CreditCardData[[#This Row],[Age at Open]],0)</f>
        <v>86</v>
      </c>
      <c r="I21" s="4">
        <v>44610</v>
      </c>
      <c r="J21" s="4">
        <v>44624</v>
      </c>
      <c r="K21" s="9">
        <f t="shared" si="1"/>
        <v>14</v>
      </c>
      <c r="L21" s="4">
        <v>25436</v>
      </c>
      <c r="M21" s="33">
        <f t="shared" si="2"/>
        <v>52.491666666666667</v>
      </c>
      <c r="N21" s="9">
        <f>ROUNDDOWN(CreditCardData[[#This Row],[Yrs with Bank at Open]],0)</f>
        <v>52</v>
      </c>
      <c r="O21" s="2" t="s">
        <v>89</v>
      </c>
      <c r="P21" s="2" t="s">
        <v>99</v>
      </c>
      <c r="Q21" s="5">
        <v>202763.38</v>
      </c>
      <c r="R21" s="8">
        <v>1</v>
      </c>
      <c r="S21" s="8">
        <v>0</v>
      </c>
      <c r="T21" s="19" t="s">
        <v>84</v>
      </c>
    </row>
    <row r="22" spans="2:20" x14ac:dyDescent="0.25">
      <c r="B22" s="18">
        <v>20</v>
      </c>
      <c r="C22" s="2" t="s">
        <v>25</v>
      </c>
      <c r="D22" s="2" t="s">
        <v>61</v>
      </c>
      <c r="E22" s="8" t="s">
        <v>79</v>
      </c>
      <c r="F22" s="3">
        <v>17156</v>
      </c>
      <c r="G22" s="79">
        <f t="shared" si="0"/>
        <v>75.561111111111117</v>
      </c>
      <c r="H22" s="39">
        <f>ROUNDDOWN(CreditCardData[[#This Row],[Age at Open]],0)</f>
        <v>75</v>
      </c>
      <c r="I22" s="4">
        <v>44754</v>
      </c>
      <c r="J22" s="4" t="s">
        <v>163</v>
      </c>
      <c r="K22" s="9" t="str">
        <f t="shared" si="1"/>
        <v>N/A</v>
      </c>
      <c r="L22" s="4">
        <v>39835</v>
      </c>
      <c r="M22" s="33">
        <f t="shared" si="2"/>
        <v>13.472222222222221</v>
      </c>
      <c r="N22" s="9">
        <f>ROUNDDOWN(CreditCardData[[#This Row],[Yrs with Bank at Open]],0)</f>
        <v>13</v>
      </c>
      <c r="O22" s="2" t="s">
        <v>94</v>
      </c>
      <c r="P22" s="2" t="s">
        <v>89</v>
      </c>
      <c r="Q22" s="5">
        <v>15168.5</v>
      </c>
      <c r="R22" s="8">
        <v>2</v>
      </c>
      <c r="S22" s="8">
        <v>0</v>
      </c>
      <c r="T22" s="19" t="s">
        <v>84</v>
      </c>
    </row>
    <row r="23" spans="2:20" x14ac:dyDescent="0.25">
      <c r="B23" s="18">
        <v>21</v>
      </c>
      <c r="C23" s="2" t="s">
        <v>26</v>
      </c>
      <c r="D23" s="2" t="s">
        <v>62</v>
      </c>
      <c r="E23" s="8" t="s">
        <v>79</v>
      </c>
      <c r="F23" s="3">
        <v>21509</v>
      </c>
      <c r="G23" s="79">
        <f t="shared" si="0"/>
        <v>63.255555555555553</v>
      </c>
      <c r="H23" s="39">
        <f>ROUNDDOWN(CreditCardData[[#This Row],[Age at Open]],0)</f>
        <v>63</v>
      </c>
      <c r="I23" s="4">
        <v>44614</v>
      </c>
      <c r="J23" s="4">
        <v>44621</v>
      </c>
      <c r="K23" s="9">
        <f t="shared" si="1"/>
        <v>7</v>
      </c>
      <c r="L23" s="4">
        <v>34474</v>
      </c>
      <c r="M23" s="33">
        <f t="shared" si="2"/>
        <v>27.755555555555556</v>
      </c>
      <c r="N23" s="9">
        <f>ROUNDDOWN(CreditCardData[[#This Row],[Yrs with Bank at Open]],0)</f>
        <v>27</v>
      </c>
      <c r="O23" s="2" t="s">
        <v>94</v>
      </c>
      <c r="P23" s="2" t="s">
        <v>99</v>
      </c>
      <c r="Q23" s="5">
        <v>261443.33</v>
      </c>
      <c r="R23" s="8">
        <v>3</v>
      </c>
      <c r="S23" s="8">
        <v>1</v>
      </c>
      <c r="T23" s="19" t="s">
        <v>84</v>
      </c>
    </row>
    <row r="24" spans="2:20" x14ac:dyDescent="0.25">
      <c r="B24" s="18">
        <v>22</v>
      </c>
      <c r="C24" s="2" t="s">
        <v>27</v>
      </c>
      <c r="D24" s="6" t="s">
        <v>63</v>
      </c>
      <c r="E24" s="8" t="s">
        <v>79</v>
      </c>
      <c r="F24" s="3">
        <v>20495</v>
      </c>
      <c r="G24" s="79">
        <f t="shared" si="0"/>
        <v>65.897222222222226</v>
      </c>
      <c r="H24" s="39">
        <f>ROUNDDOWN(CreditCardData[[#This Row],[Age at Open]],0)</f>
        <v>65</v>
      </c>
      <c r="I24" s="4">
        <v>44564</v>
      </c>
      <c r="J24" s="4">
        <v>44576</v>
      </c>
      <c r="K24" s="9">
        <f t="shared" si="1"/>
        <v>12</v>
      </c>
      <c r="L24" s="4">
        <v>44564</v>
      </c>
      <c r="M24" s="33">
        <f t="shared" si="2"/>
        <v>0</v>
      </c>
      <c r="N24" s="9">
        <f>ROUNDDOWN(CreditCardData[[#This Row],[Yrs with Bank at Open]],0)</f>
        <v>0</v>
      </c>
      <c r="O24" s="2" t="s">
        <v>96</v>
      </c>
      <c r="P24" s="2" t="s">
        <v>89</v>
      </c>
      <c r="Q24" s="5">
        <v>12282.23</v>
      </c>
      <c r="R24" s="8">
        <v>1</v>
      </c>
      <c r="S24" s="8">
        <v>0</v>
      </c>
      <c r="T24" s="19" t="s">
        <v>84</v>
      </c>
    </row>
    <row r="25" spans="2:20" x14ac:dyDescent="0.25">
      <c r="B25" s="18">
        <v>23</v>
      </c>
      <c r="C25" s="2" t="s">
        <v>28</v>
      </c>
      <c r="D25" s="6" t="s">
        <v>64</v>
      </c>
      <c r="E25" s="8" t="s">
        <v>79</v>
      </c>
      <c r="F25" s="3">
        <v>23157</v>
      </c>
      <c r="G25" s="79">
        <f t="shared" si="0"/>
        <v>59.019444444444446</v>
      </c>
      <c r="H25" s="39">
        <f>ROUNDDOWN(CreditCardData[[#This Row],[Age at Open]],0)</f>
        <v>59</v>
      </c>
      <c r="I25" s="4">
        <v>44715</v>
      </c>
      <c r="J25" s="4">
        <v>44722</v>
      </c>
      <c r="K25" s="9">
        <f t="shared" si="1"/>
        <v>7</v>
      </c>
      <c r="L25" s="4">
        <v>33316</v>
      </c>
      <c r="M25" s="33">
        <f t="shared" si="2"/>
        <v>31.205555555555556</v>
      </c>
      <c r="N25" s="9">
        <f>ROUNDDOWN(CreditCardData[[#This Row],[Yrs with Bank at Open]],0)</f>
        <v>31</v>
      </c>
      <c r="O25" s="2" t="s">
        <v>94</v>
      </c>
      <c r="P25" s="2" t="s">
        <v>89</v>
      </c>
      <c r="Q25" s="5">
        <v>2590.77</v>
      </c>
      <c r="R25" s="8">
        <v>1</v>
      </c>
      <c r="S25" s="8">
        <v>0</v>
      </c>
      <c r="T25" s="19" t="s">
        <v>84</v>
      </c>
    </row>
    <row r="26" spans="2:20" x14ac:dyDescent="0.25">
      <c r="B26" s="18">
        <v>24</v>
      </c>
      <c r="C26" s="2" t="s">
        <v>29</v>
      </c>
      <c r="D26" s="2" t="s">
        <v>65</v>
      </c>
      <c r="E26" s="8" t="s">
        <v>79</v>
      </c>
      <c r="F26" s="3">
        <v>19327</v>
      </c>
      <c r="G26" s="79">
        <f t="shared" si="0"/>
        <v>69.602777777777774</v>
      </c>
      <c r="H26" s="39">
        <f>ROUNDDOWN(CreditCardData[[#This Row],[Age at Open]],0)</f>
        <v>69</v>
      </c>
      <c r="I26" s="4">
        <v>44748</v>
      </c>
      <c r="J26" s="4">
        <v>44753</v>
      </c>
      <c r="K26" s="9">
        <f t="shared" si="1"/>
        <v>5</v>
      </c>
      <c r="L26" s="4">
        <v>31195</v>
      </c>
      <c r="M26" s="33">
        <f t="shared" si="2"/>
        <v>37.105555555555554</v>
      </c>
      <c r="N26" s="9">
        <f>ROUNDDOWN(CreditCardData[[#This Row],[Yrs with Bank at Open]],0)</f>
        <v>37</v>
      </c>
      <c r="O26" s="2" t="s">
        <v>94</v>
      </c>
      <c r="P26" s="2" t="s">
        <v>89</v>
      </c>
      <c r="Q26" s="5">
        <v>28996.959999999999</v>
      </c>
      <c r="R26" s="8">
        <v>2</v>
      </c>
      <c r="S26" s="8">
        <v>1</v>
      </c>
      <c r="T26" s="19" t="s">
        <v>84</v>
      </c>
    </row>
    <row r="27" spans="2:20" x14ac:dyDescent="0.25">
      <c r="B27" s="18">
        <v>25</v>
      </c>
      <c r="C27" s="2" t="s">
        <v>30</v>
      </c>
      <c r="D27" s="2" t="s">
        <v>66</v>
      </c>
      <c r="E27" s="8" t="s">
        <v>78</v>
      </c>
      <c r="F27" s="3">
        <v>19772</v>
      </c>
      <c r="G27" s="79">
        <f t="shared" si="0"/>
        <v>68.400000000000006</v>
      </c>
      <c r="H27" s="39">
        <f>ROUNDDOWN(CreditCardData[[#This Row],[Age at Open]],0)</f>
        <v>68</v>
      </c>
      <c r="I27" s="4">
        <v>44753</v>
      </c>
      <c r="J27" s="4" t="s">
        <v>163</v>
      </c>
      <c r="K27" s="9" t="str">
        <f t="shared" si="1"/>
        <v>N/A</v>
      </c>
      <c r="L27" s="4">
        <v>30890</v>
      </c>
      <c r="M27" s="33">
        <f t="shared" si="2"/>
        <v>37.955555555555556</v>
      </c>
      <c r="N27" s="9">
        <f>ROUNDDOWN(CreditCardData[[#This Row],[Yrs with Bank at Open]],0)</f>
        <v>37</v>
      </c>
      <c r="O27" s="2" t="s">
        <v>94</v>
      </c>
      <c r="P27" s="2" t="s">
        <v>100</v>
      </c>
      <c r="Q27" s="5">
        <v>41793.550000000003</v>
      </c>
      <c r="R27" s="8">
        <v>2</v>
      </c>
      <c r="S27" s="8">
        <v>1</v>
      </c>
      <c r="T27" s="19" t="s">
        <v>84</v>
      </c>
    </row>
    <row r="28" spans="2:20" x14ac:dyDescent="0.25">
      <c r="B28" s="18">
        <v>26</v>
      </c>
      <c r="C28" s="2" t="s">
        <v>31</v>
      </c>
      <c r="D28" s="2" t="s">
        <v>67</v>
      </c>
      <c r="E28" s="8" t="s">
        <v>79</v>
      </c>
      <c r="F28" s="3">
        <v>25262</v>
      </c>
      <c r="G28" s="79">
        <f t="shared" si="0"/>
        <v>53.272222222222226</v>
      </c>
      <c r="H28" s="39">
        <f>ROUNDDOWN(CreditCardData[[#This Row],[Age at Open]],0)</f>
        <v>53</v>
      </c>
      <c r="I28" s="4">
        <v>44720</v>
      </c>
      <c r="J28" s="4">
        <v>44750</v>
      </c>
      <c r="K28" s="9">
        <f t="shared" si="1"/>
        <v>30</v>
      </c>
      <c r="L28" s="4">
        <v>34474</v>
      </c>
      <c r="M28" s="33">
        <f t="shared" si="2"/>
        <v>28.05</v>
      </c>
      <c r="N28" s="9">
        <f>ROUNDDOWN(CreditCardData[[#This Row],[Yrs with Bank at Open]],0)</f>
        <v>28</v>
      </c>
      <c r="O28" s="2" t="s">
        <v>97</v>
      </c>
      <c r="P28" s="2" t="s">
        <v>99</v>
      </c>
      <c r="Q28" s="5">
        <v>6111.98</v>
      </c>
      <c r="R28" s="8">
        <v>1</v>
      </c>
      <c r="S28" s="8">
        <v>0</v>
      </c>
      <c r="T28" s="19" t="s">
        <v>84</v>
      </c>
    </row>
    <row r="29" spans="2:20" x14ac:dyDescent="0.25">
      <c r="B29" s="18">
        <v>27</v>
      </c>
      <c r="C29" s="2" t="s">
        <v>32</v>
      </c>
      <c r="D29" s="6" t="s">
        <v>68</v>
      </c>
      <c r="E29" s="8" t="s">
        <v>79</v>
      </c>
      <c r="F29" s="3">
        <v>22782</v>
      </c>
      <c r="G29" s="79">
        <f t="shared" si="0"/>
        <v>60.205555555555556</v>
      </c>
      <c r="H29" s="39">
        <f>ROUNDDOWN(CreditCardData[[#This Row],[Age at Open]],0)</f>
        <v>60</v>
      </c>
      <c r="I29" s="4">
        <v>44772</v>
      </c>
      <c r="J29" s="4">
        <v>44779</v>
      </c>
      <c r="K29" s="9">
        <f t="shared" si="1"/>
        <v>7</v>
      </c>
      <c r="L29" s="4">
        <v>29657</v>
      </c>
      <c r="M29" s="33">
        <f t="shared" si="2"/>
        <v>41.383333333333333</v>
      </c>
      <c r="N29" s="9">
        <f>ROUNDDOWN(CreditCardData[[#This Row],[Yrs with Bank at Open]],0)</f>
        <v>41</v>
      </c>
      <c r="O29" s="2" t="s">
        <v>89</v>
      </c>
      <c r="P29" s="2" t="s">
        <v>98</v>
      </c>
      <c r="Q29" s="5">
        <v>10135.59</v>
      </c>
      <c r="R29" s="8">
        <v>2</v>
      </c>
      <c r="S29" s="8">
        <v>0</v>
      </c>
      <c r="T29" s="19" t="s">
        <v>84</v>
      </c>
    </row>
    <row r="30" spans="2:20" x14ac:dyDescent="0.25">
      <c r="B30" s="18">
        <v>28</v>
      </c>
      <c r="C30" s="2" t="s">
        <v>33</v>
      </c>
      <c r="D30" s="2" t="s">
        <v>69</v>
      </c>
      <c r="E30" s="8" t="s">
        <v>79</v>
      </c>
      <c r="F30" s="3">
        <v>20194</v>
      </c>
      <c r="G30" s="79">
        <f t="shared" si="0"/>
        <v>67.088888888888889</v>
      </c>
      <c r="H30" s="39">
        <f>ROUNDDOWN(CreditCardData[[#This Row],[Age at Open]],0)</f>
        <v>67</v>
      </c>
      <c r="I30" s="4">
        <v>44698</v>
      </c>
      <c r="J30" s="4">
        <v>44704</v>
      </c>
      <c r="K30" s="9">
        <f t="shared" si="1"/>
        <v>6</v>
      </c>
      <c r="L30" s="4">
        <v>41985</v>
      </c>
      <c r="M30" s="33">
        <f t="shared" si="2"/>
        <v>7.4305555555555554</v>
      </c>
      <c r="N30" s="9">
        <f>ROUNDDOWN(CreditCardData[[#This Row],[Yrs with Bank at Open]],0)</f>
        <v>7</v>
      </c>
      <c r="O30" s="2" t="s">
        <v>94</v>
      </c>
      <c r="P30" s="2" t="s">
        <v>89</v>
      </c>
      <c r="Q30" s="5">
        <v>17967.13</v>
      </c>
      <c r="R30" s="8">
        <v>1</v>
      </c>
      <c r="S30" s="8">
        <v>0</v>
      </c>
      <c r="T30" s="19" t="s">
        <v>86</v>
      </c>
    </row>
    <row r="31" spans="2:20" x14ac:dyDescent="0.25">
      <c r="B31" s="18">
        <v>29</v>
      </c>
      <c r="C31" s="2" t="s">
        <v>34</v>
      </c>
      <c r="D31" s="6" t="s">
        <v>70</v>
      </c>
      <c r="E31" s="8" t="s">
        <v>78</v>
      </c>
      <c r="F31" s="3">
        <v>23424</v>
      </c>
      <c r="G31" s="79">
        <f t="shared" si="0"/>
        <v>58.4</v>
      </c>
      <c r="H31" s="39">
        <f>ROUNDDOWN(CreditCardData[[#This Row],[Age at Open]],0)</f>
        <v>58</v>
      </c>
      <c r="I31" s="4">
        <v>44753</v>
      </c>
      <c r="J31" s="4">
        <v>44764</v>
      </c>
      <c r="K31" s="9">
        <f t="shared" si="1"/>
        <v>11</v>
      </c>
      <c r="L31" s="4">
        <v>33415</v>
      </c>
      <c r="M31" s="33">
        <f t="shared" si="2"/>
        <v>31.041666666666668</v>
      </c>
      <c r="N31" s="9">
        <f>ROUNDDOWN(CreditCardData[[#This Row],[Yrs with Bank at Open]],0)</f>
        <v>31</v>
      </c>
      <c r="O31" s="2" t="s">
        <v>96</v>
      </c>
      <c r="P31" s="2" t="s">
        <v>89</v>
      </c>
      <c r="Q31" s="5">
        <v>5533.94</v>
      </c>
      <c r="R31" s="8">
        <v>4</v>
      </c>
      <c r="S31" s="8">
        <v>1</v>
      </c>
      <c r="T31" s="19" t="s">
        <v>84</v>
      </c>
    </row>
    <row r="32" spans="2:20" x14ac:dyDescent="0.25">
      <c r="B32" s="18">
        <v>30</v>
      </c>
      <c r="C32" s="2" t="s">
        <v>35</v>
      </c>
      <c r="D32" s="2" t="s">
        <v>71</v>
      </c>
      <c r="E32" s="8" t="s">
        <v>78</v>
      </c>
      <c r="F32" s="3">
        <v>27519</v>
      </c>
      <c r="G32" s="79">
        <f t="shared" si="0"/>
        <v>47.06111111111111</v>
      </c>
      <c r="H32" s="39">
        <f>ROUNDDOWN(CreditCardData[[#This Row],[Age at Open]],0)</f>
        <v>47</v>
      </c>
      <c r="I32" s="4">
        <v>44708</v>
      </c>
      <c r="J32" s="4">
        <v>44723</v>
      </c>
      <c r="K32" s="9">
        <f t="shared" si="1"/>
        <v>15</v>
      </c>
      <c r="L32" s="4">
        <v>38828</v>
      </c>
      <c r="M32" s="33">
        <f t="shared" si="2"/>
        <v>16.100000000000001</v>
      </c>
      <c r="N32" s="9">
        <f>ROUNDDOWN(CreditCardData[[#This Row],[Yrs with Bank at Open]],0)</f>
        <v>16</v>
      </c>
      <c r="O32" s="2" t="s">
        <v>89</v>
      </c>
      <c r="P32" s="2" t="s">
        <v>89</v>
      </c>
      <c r="Q32" s="5">
        <v>69477.8</v>
      </c>
      <c r="R32" s="8">
        <v>3</v>
      </c>
      <c r="S32" s="8">
        <v>1</v>
      </c>
      <c r="T32" s="19" t="s">
        <v>84</v>
      </c>
    </row>
    <row r="33" spans="2:20" x14ac:dyDescent="0.25">
      <c r="B33" s="18">
        <v>31</v>
      </c>
      <c r="C33" s="2" t="s">
        <v>36</v>
      </c>
      <c r="D33" s="2" t="s">
        <v>72</v>
      </c>
      <c r="E33" s="8" t="s">
        <v>79</v>
      </c>
      <c r="F33" s="3">
        <v>23669</v>
      </c>
      <c r="G33" s="79">
        <f t="shared" si="0"/>
        <v>57.758333333333333</v>
      </c>
      <c r="H33" s="39">
        <f>ROUNDDOWN(CreditCardData[[#This Row],[Age at Open]],0)</f>
        <v>57</v>
      </c>
      <c r="I33" s="4">
        <v>44764</v>
      </c>
      <c r="J33" s="4">
        <v>44772</v>
      </c>
      <c r="K33" s="9">
        <f t="shared" si="1"/>
        <v>8</v>
      </c>
      <c r="L33" s="4">
        <v>38457</v>
      </c>
      <c r="M33" s="33">
        <f t="shared" si="2"/>
        <v>17.269444444444446</v>
      </c>
      <c r="N33" s="9">
        <f>ROUNDDOWN(CreditCardData[[#This Row],[Yrs with Bank at Open]],0)</f>
        <v>17</v>
      </c>
      <c r="O33" s="2" t="s">
        <v>94</v>
      </c>
      <c r="P33" s="2" t="s">
        <v>89</v>
      </c>
      <c r="Q33" s="5">
        <v>244365.4</v>
      </c>
      <c r="R33" s="8">
        <v>2</v>
      </c>
      <c r="S33" s="8">
        <v>0</v>
      </c>
      <c r="T33" s="19" t="s">
        <v>84</v>
      </c>
    </row>
    <row r="34" spans="2:20" x14ac:dyDescent="0.25">
      <c r="B34" s="18">
        <v>32</v>
      </c>
      <c r="C34" s="2" t="s">
        <v>37</v>
      </c>
      <c r="D34" s="6" t="s">
        <v>73</v>
      </c>
      <c r="E34" s="8" t="s">
        <v>79</v>
      </c>
      <c r="F34" s="3">
        <v>19914</v>
      </c>
      <c r="G34" s="79">
        <f t="shared" si="0"/>
        <v>67.952777777777783</v>
      </c>
      <c r="H34" s="39">
        <f>ROUNDDOWN(CreditCardData[[#This Row],[Age at Open]],0)</f>
        <v>67</v>
      </c>
      <c r="I34" s="4">
        <v>44734</v>
      </c>
      <c r="J34" s="4">
        <v>44774</v>
      </c>
      <c r="K34" s="9">
        <f t="shared" si="1"/>
        <v>40</v>
      </c>
      <c r="L34" s="4">
        <v>44504</v>
      </c>
      <c r="M34" s="33">
        <f t="shared" si="2"/>
        <v>0.6333333333333333</v>
      </c>
      <c r="N34" s="9">
        <f>ROUNDDOWN(CreditCardData[[#This Row],[Yrs with Bank at Open]],0)</f>
        <v>0</v>
      </c>
      <c r="O34" s="2" t="s">
        <v>89</v>
      </c>
      <c r="P34" s="2" t="s">
        <v>96</v>
      </c>
      <c r="Q34" s="5">
        <v>1223.53</v>
      </c>
      <c r="R34" s="8">
        <v>1</v>
      </c>
      <c r="S34" s="8">
        <v>0</v>
      </c>
      <c r="T34" s="19" t="s">
        <v>86</v>
      </c>
    </row>
    <row r="35" spans="2:20" x14ac:dyDescent="0.25">
      <c r="B35" s="18">
        <v>33</v>
      </c>
      <c r="C35" s="2" t="s">
        <v>38</v>
      </c>
      <c r="D35" s="2" t="s">
        <v>74</v>
      </c>
      <c r="E35" s="8" t="s">
        <v>79</v>
      </c>
      <c r="F35" s="3">
        <v>27656</v>
      </c>
      <c r="G35" s="79">
        <f t="shared" ref="G35:G66" si="3">YEARFRAC(F35,I35)</f>
        <v>46.68888888888889</v>
      </c>
      <c r="H35" s="39">
        <f>ROUNDDOWN(CreditCardData[[#This Row],[Age at Open]],0)</f>
        <v>46</v>
      </c>
      <c r="I35" s="4">
        <v>44708</v>
      </c>
      <c r="J35" s="4">
        <v>44740</v>
      </c>
      <c r="K35" s="9">
        <f t="shared" ref="K35:K66" si="4">IFERROR(_xlfn.DAYS(J35,I35),"N/A")</f>
        <v>32</v>
      </c>
      <c r="L35" s="4">
        <v>39629</v>
      </c>
      <c r="M35" s="33">
        <f t="shared" ref="M35:M66" si="5">YEARFRAC(L35,I35)</f>
        <v>13.908333333333333</v>
      </c>
      <c r="N35" s="9">
        <f>ROUNDDOWN(CreditCardData[[#This Row],[Yrs with Bank at Open]],0)</f>
        <v>13</v>
      </c>
      <c r="O35" s="2" t="s">
        <v>101</v>
      </c>
      <c r="P35" s="2" t="s">
        <v>99</v>
      </c>
      <c r="Q35" s="5">
        <v>18567.7</v>
      </c>
      <c r="R35" s="8">
        <v>1</v>
      </c>
      <c r="S35" s="8">
        <v>0</v>
      </c>
      <c r="T35" s="19" t="s">
        <v>84</v>
      </c>
    </row>
    <row r="36" spans="2:20" x14ac:dyDescent="0.25">
      <c r="B36" s="18">
        <v>34</v>
      </c>
      <c r="C36" s="2" t="s">
        <v>39</v>
      </c>
      <c r="D36" s="6" t="s">
        <v>75</v>
      </c>
      <c r="E36" s="8" t="s">
        <v>79</v>
      </c>
      <c r="F36" s="3">
        <v>25693</v>
      </c>
      <c r="G36" s="79">
        <f t="shared" si="3"/>
        <v>52.133333333333333</v>
      </c>
      <c r="H36" s="39">
        <f>ROUNDDOWN(CreditCardData[[#This Row],[Age at Open]],0)</f>
        <v>52</v>
      </c>
      <c r="I36" s="4">
        <v>44735</v>
      </c>
      <c r="J36" s="4">
        <v>44750</v>
      </c>
      <c r="K36" s="9">
        <f t="shared" si="4"/>
        <v>15</v>
      </c>
      <c r="L36" s="4">
        <v>39545</v>
      </c>
      <c r="M36" s="33">
        <f t="shared" si="5"/>
        <v>14.21111111111111</v>
      </c>
      <c r="N36" s="9">
        <f>ROUNDDOWN(CreditCardData[[#This Row],[Yrs with Bank at Open]],0)</f>
        <v>14</v>
      </c>
      <c r="O36" s="2" t="s">
        <v>94</v>
      </c>
      <c r="P36" s="2" t="s">
        <v>89</v>
      </c>
      <c r="Q36" s="5">
        <v>3884.67</v>
      </c>
      <c r="R36" s="8">
        <v>2</v>
      </c>
      <c r="S36" s="8">
        <v>0</v>
      </c>
      <c r="T36" s="19" t="s">
        <v>84</v>
      </c>
    </row>
    <row r="37" spans="2:20" x14ac:dyDescent="0.25">
      <c r="B37" s="18">
        <v>35</v>
      </c>
      <c r="C37" s="2" t="s">
        <v>40</v>
      </c>
      <c r="D37" s="2" t="s">
        <v>76</v>
      </c>
      <c r="E37" s="8" t="s">
        <v>78</v>
      </c>
      <c r="F37" s="3">
        <v>32898</v>
      </c>
      <c r="G37" s="79">
        <f t="shared" si="3"/>
        <v>32.291666666666664</v>
      </c>
      <c r="H37" s="39">
        <f>ROUNDDOWN(CreditCardData[[#This Row],[Age at Open]],0)</f>
        <v>32</v>
      </c>
      <c r="I37" s="4">
        <v>44691</v>
      </c>
      <c r="J37" s="4">
        <v>44697</v>
      </c>
      <c r="K37" s="9">
        <f t="shared" si="4"/>
        <v>6</v>
      </c>
      <c r="L37" s="4">
        <v>41450</v>
      </c>
      <c r="M37" s="33">
        <f t="shared" si="5"/>
        <v>8.875</v>
      </c>
      <c r="N37" s="9">
        <f>ROUNDDOWN(CreditCardData[[#This Row],[Yrs with Bank at Open]],0)</f>
        <v>8</v>
      </c>
      <c r="O37" s="2" t="s">
        <v>96</v>
      </c>
      <c r="P37" s="2" t="s">
        <v>99</v>
      </c>
      <c r="Q37" s="5">
        <v>3045.75</v>
      </c>
      <c r="R37" s="8">
        <v>1</v>
      </c>
      <c r="S37" s="8">
        <v>1</v>
      </c>
      <c r="T37" s="19" t="s">
        <v>84</v>
      </c>
    </row>
    <row r="38" spans="2:20" x14ac:dyDescent="0.25">
      <c r="B38" s="18">
        <v>36</v>
      </c>
      <c r="C38" s="2" t="s">
        <v>41</v>
      </c>
      <c r="D38" s="6" t="s">
        <v>77</v>
      </c>
      <c r="E38" s="8" t="s">
        <v>79</v>
      </c>
      <c r="F38" s="3">
        <v>23348</v>
      </c>
      <c r="G38" s="79">
        <f t="shared" si="3"/>
        <v>58.555555555555557</v>
      </c>
      <c r="H38" s="39">
        <f>ROUNDDOWN(CreditCardData[[#This Row],[Age at Open]],0)</f>
        <v>58</v>
      </c>
      <c r="I38" s="4">
        <v>44735</v>
      </c>
      <c r="J38" s="4" t="s">
        <v>163</v>
      </c>
      <c r="K38" s="9" t="str">
        <f t="shared" si="4"/>
        <v>N/A</v>
      </c>
      <c r="L38" s="4">
        <v>41789</v>
      </c>
      <c r="M38" s="33">
        <f t="shared" si="5"/>
        <v>8.0638888888888882</v>
      </c>
      <c r="N38" s="9">
        <f>ROUNDDOWN(CreditCardData[[#This Row],[Yrs with Bank at Open]],0)</f>
        <v>8</v>
      </c>
      <c r="O38" s="2" t="s">
        <v>89</v>
      </c>
      <c r="P38" s="2" t="s">
        <v>89</v>
      </c>
      <c r="Q38" s="5">
        <v>-65.05</v>
      </c>
      <c r="R38" s="8">
        <v>1</v>
      </c>
      <c r="S38" s="8">
        <v>0</v>
      </c>
      <c r="T38" s="19" t="s">
        <v>84</v>
      </c>
    </row>
    <row r="39" spans="2:20" x14ac:dyDescent="0.25">
      <c r="B39" s="18">
        <v>37</v>
      </c>
      <c r="C39" s="2" t="s">
        <v>103</v>
      </c>
      <c r="D39" s="6" t="s">
        <v>102</v>
      </c>
      <c r="E39" s="10" t="s">
        <v>78</v>
      </c>
      <c r="F39" s="3">
        <v>19218</v>
      </c>
      <c r="G39" s="79">
        <f t="shared" si="3"/>
        <v>68.441666666666663</v>
      </c>
      <c r="H39" s="39">
        <f>ROUNDDOWN(CreditCardData[[#This Row],[Age at Open]],0)</f>
        <v>68</v>
      </c>
      <c r="I39" s="4">
        <v>44217</v>
      </c>
      <c r="J39" s="4">
        <v>44225</v>
      </c>
      <c r="K39" s="9">
        <f t="shared" si="4"/>
        <v>8</v>
      </c>
      <c r="L39" s="4">
        <v>30862</v>
      </c>
      <c r="M39" s="33">
        <f t="shared" si="5"/>
        <v>36.56111111111111</v>
      </c>
      <c r="N39" s="9">
        <f>ROUNDDOWN(CreditCardData[[#This Row],[Yrs with Bank at Open]],0)</f>
        <v>36</v>
      </c>
      <c r="O39" s="1" t="s">
        <v>94</v>
      </c>
      <c r="P39" s="1" t="s">
        <v>89</v>
      </c>
      <c r="Q39" s="7">
        <v>0</v>
      </c>
      <c r="R39" s="10">
        <v>2</v>
      </c>
      <c r="S39" s="10">
        <v>0</v>
      </c>
      <c r="T39" s="19" t="s">
        <v>84</v>
      </c>
    </row>
    <row r="40" spans="2:20" x14ac:dyDescent="0.25">
      <c r="B40" s="18">
        <v>38</v>
      </c>
      <c r="C40" s="2" t="s">
        <v>105</v>
      </c>
      <c r="D40" s="6" t="s">
        <v>104</v>
      </c>
      <c r="E40" s="10" t="s">
        <v>79</v>
      </c>
      <c r="F40" s="3">
        <v>20515</v>
      </c>
      <c r="G40" s="79">
        <f t="shared" si="3"/>
        <v>65.802777777777777</v>
      </c>
      <c r="H40" s="39">
        <f>ROUNDDOWN(CreditCardData[[#This Row],[Age at Open]],0)</f>
        <v>65</v>
      </c>
      <c r="I40" s="4">
        <v>44550</v>
      </c>
      <c r="J40" s="4">
        <v>44586</v>
      </c>
      <c r="K40" s="9">
        <f t="shared" si="4"/>
        <v>36</v>
      </c>
      <c r="L40" s="4">
        <v>43993</v>
      </c>
      <c r="M40" s="33">
        <f t="shared" si="5"/>
        <v>1.5249999999999999</v>
      </c>
      <c r="N40" s="9">
        <f>ROUNDDOWN(CreditCardData[[#This Row],[Yrs with Bank at Open]],0)</f>
        <v>1</v>
      </c>
      <c r="O40" s="1" t="s">
        <v>94</v>
      </c>
      <c r="P40" s="1" t="s">
        <v>89</v>
      </c>
      <c r="Q40" s="7">
        <v>8220.4699999999993</v>
      </c>
      <c r="R40" s="10">
        <v>2</v>
      </c>
      <c r="S40" s="10">
        <v>0</v>
      </c>
      <c r="T40" s="19" t="s">
        <v>84</v>
      </c>
    </row>
    <row r="41" spans="2:20" x14ac:dyDescent="0.25">
      <c r="B41" s="18">
        <v>39</v>
      </c>
      <c r="C41" s="2" t="s">
        <v>107</v>
      </c>
      <c r="D41" s="2" t="s">
        <v>106</v>
      </c>
      <c r="E41" s="10" t="s">
        <v>79</v>
      </c>
      <c r="F41" s="3">
        <v>31242</v>
      </c>
      <c r="G41" s="79">
        <f t="shared" si="3"/>
        <v>36.036111111111111</v>
      </c>
      <c r="H41" s="39">
        <f>ROUNDDOWN(CreditCardData[[#This Row],[Age at Open]],0)</f>
        <v>36</v>
      </c>
      <c r="I41" s="4">
        <v>44404</v>
      </c>
      <c r="J41" s="4" t="s">
        <v>163</v>
      </c>
      <c r="K41" s="9" t="str">
        <f t="shared" si="4"/>
        <v>N/A</v>
      </c>
      <c r="L41" s="4">
        <v>43517</v>
      </c>
      <c r="M41" s="33">
        <f t="shared" si="5"/>
        <v>2.4333333333333331</v>
      </c>
      <c r="N41" s="9">
        <f>ROUNDDOWN(CreditCardData[[#This Row],[Yrs with Bank at Open]],0)</f>
        <v>2</v>
      </c>
      <c r="O41" s="1" t="s">
        <v>98</v>
      </c>
      <c r="P41" s="1" t="s">
        <v>100</v>
      </c>
      <c r="Q41" s="7">
        <v>2590.23</v>
      </c>
      <c r="R41" s="10">
        <v>2</v>
      </c>
      <c r="S41" s="10">
        <v>1</v>
      </c>
      <c r="T41" s="19" t="s">
        <v>85</v>
      </c>
    </row>
    <row r="42" spans="2:20" x14ac:dyDescent="0.25">
      <c r="B42" s="18">
        <v>40</v>
      </c>
      <c r="C42" s="2" t="s">
        <v>109</v>
      </c>
      <c r="D42" s="6" t="s">
        <v>108</v>
      </c>
      <c r="E42" s="10" t="s">
        <v>79</v>
      </c>
      <c r="F42" s="3">
        <v>24043</v>
      </c>
      <c r="G42" s="79">
        <f t="shared" si="3"/>
        <v>55.444444444444443</v>
      </c>
      <c r="H42" s="39">
        <f>ROUNDDOWN(CreditCardData[[#This Row],[Age at Open]],0)</f>
        <v>55</v>
      </c>
      <c r="I42" s="4">
        <v>44294</v>
      </c>
      <c r="J42" s="4">
        <v>44343</v>
      </c>
      <c r="K42" s="9">
        <f t="shared" si="4"/>
        <v>49</v>
      </c>
      <c r="L42" s="4">
        <v>36717</v>
      </c>
      <c r="M42" s="33">
        <f t="shared" si="5"/>
        <v>20.744444444444444</v>
      </c>
      <c r="N42" s="9">
        <f>ROUNDDOWN(CreditCardData[[#This Row],[Yrs with Bank at Open]],0)</f>
        <v>20</v>
      </c>
      <c r="O42" s="1" t="s">
        <v>88</v>
      </c>
      <c r="P42" s="1" t="s">
        <v>89</v>
      </c>
      <c r="Q42" s="7">
        <v>82431.38</v>
      </c>
      <c r="R42" s="10">
        <v>4</v>
      </c>
      <c r="S42" s="10">
        <v>0</v>
      </c>
      <c r="T42" s="19" t="s">
        <v>84</v>
      </c>
    </row>
    <row r="43" spans="2:20" x14ac:dyDescent="0.25">
      <c r="B43" s="18">
        <v>41</v>
      </c>
      <c r="C43" s="2" t="s">
        <v>111</v>
      </c>
      <c r="D43" s="2" t="s">
        <v>110</v>
      </c>
      <c r="E43" s="10" t="s">
        <v>79</v>
      </c>
      <c r="F43" s="3">
        <v>29410</v>
      </c>
      <c r="G43" s="79">
        <f t="shared" si="3"/>
        <v>40.94166666666667</v>
      </c>
      <c r="H43" s="39">
        <f>ROUNDDOWN(CreditCardData[[#This Row],[Age at Open]],0)</f>
        <v>40</v>
      </c>
      <c r="I43" s="4">
        <v>44364</v>
      </c>
      <c r="J43" s="4">
        <v>44372</v>
      </c>
      <c r="K43" s="9">
        <f t="shared" si="4"/>
        <v>8</v>
      </c>
      <c r="L43" s="4">
        <v>41780</v>
      </c>
      <c r="M43" s="33">
        <f t="shared" si="5"/>
        <v>7.072222222222222</v>
      </c>
      <c r="N43" s="9">
        <f>ROUNDDOWN(CreditCardData[[#This Row],[Yrs with Bank at Open]],0)</f>
        <v>7</v>
      </c>
      <c r="O43" s="1" t="s">
        <v>155</v>
      </c>
      <c r="P43" s="1" t="s">
        <v>101</v>
      </c>
      <c r="Q43" s="7">
        <v>0.89</v>
      </c>
      <c r="R43" s="10">
        <v>1</v>
      </c>
      <c r="S43" s="10">
        <v>0</v>
      </c>
      <c r="T43" s="19" t="s">
        <v>84</v>
      </c>
    </row>
    <row r="44" spans="2:20" x14ac:dyDescent="0.25">
      <c r="B44" s="18">
        <v>42</v>
      </c>
      <c r="C44" s="2" t="s">
        <v>112</v>
      </c>
      <c r="D44" s="6" t="s">
        <v>43</v>
      </c>
      <c r="E44" s="10" t="s">
        <v>78</v>
      </c>
      <c r="F44" s="3">
        <v>24166</v>
      </c>
      <c r="G44" s="79">
        <f t="shared" si="3"/>
        <v>55.50277777777778</v>
      </c>
      <c r="H44" s="39">
        <f>ROUNDDOWN(CreditCardData[[#This Row],[Age at Open]],0)</f>
        <v>55</v>
      </c>
      <c r="I44" s="4">
        <v>44439</v>
      </c>
      <c r="J44" s="4">
        <v>44462</v>
      </c>
      <c r="K44" s="9">
        <f t="shared" si="4"/>
        <v>23</v>
      </c>
      <c r="L44" s="4">
        <v>36159</v>
      </c>
      <c r="M44" s="33">
        <f t="shared" si="5"/>
        <v>22.666666666666668</v>
      </c>
      <c r="N44" s="9">
        <f>ROUNDDOWN(CreditCardData[[#This Row],[Yrs with Bank at Open]],0)</f>
        <v>22</v>
      </c>
      <c r="O44" s="1" t="s">
        <v>89</v>
      </c>
      <c r="P44" s="1" t="s">
        <v>97</v>
      </c>
      <c r="Q44" s="106">
        <v>8593.44</v>
      </c>
      <c r="R44" s="10">
        <v>2</v>
      </c>
      <c r="S44" s="10">
        <v>0</v>
      </c>
      <c r="T44" s="19" t="s">
        <v>84</v>
      </c>
    </row>
    <row r="45" spans="2:20" x14ac:dyDescent="0.25">
      <c r="B45" s="18">
        <v>43</v>
      </c>
      <c r="C45" s="2" t="s">
        <v>114</v>
      </c>
      <c r="D45" s="2" t="s">
        <v>113</v>
      </c>
      <c r="E45" s="10" t="s">
        <v>78</v>
      </c>
      <c r="F45" s="3">
        <v>31767</v>
      </c>
      <c r="G45" s="79">
        <f t="shared" si="3"/>
        <v>34.986111111111114</v>
      </c>
      <c r="H45" s="39">
        <f>ROUNDDOWN(CreditCardData[[#This Row],[Age at Open]],0)</f>
        <v>34</v>
      </c>
      <c r="I45" s="4">
        <v>44546</v>
      </c>
      <c r="J45" s="4">
        <v>44557</v>
      </c>
      <c r="K45" s="9">
        <f t="shared" si="4"/>
        <v>11</v>
      </c>
      <c r="L45" s="4">
        <v>39476</v>
      </c>
      <c r="M45" s="33">
        <f t="shared" si="5"/>
        <v>13.880555555555556</v>
      </c>
      <c r="N45" s="9">
        <f>ROUNDDOWN(CreditCardData[[#This Row],[Yrs with Bank at Open]],0)</f>
        <v>13</v>
      </c>
      <c r="O45" s="1" t="s">
        <v>94</v>
      </c>
      <c r="P45" s="1" t="s">
        <v>99</v>
      </c>
      <c r="Q45" s="7">
        <v>18657.34</v>
      </c>
      <c r="R45" s="10">
        <v>2</v>
      </c>
      <c r="S45" s="10">
        <v>0</v>
      </c>
      <c r="T45" s="19" t="s">
        <v>87</v>
      </c>
    </row>
    <row r="46" spans="2:20" x14ac:dyDescent="0.25">
      <c r="B46" s="18">
        <v>44</v>
      </c>
      <c r="C46" s="2" t="s">
        <v>116</v>
      </c>
      <c r="D46" s="2" t="s">
        <v>115</v>
      </c>
      <c r="E46" s="10" t="s">
        <v>79</v>
      </c>
      <c r="F46" s="3">
        <v>19965</v>
      </c>
      <c r="G46" s="79">
        <f t="shared" si="3"/>
        <v>66.736111111111114</v>
      </c>
      <c r="H46" s="39">
        <f>ROUNDDOWN(CreditCardData[[#This Row],[Age at Open]],0)</f>
        <v>66</v>
      </c>
      <c r="I46" s="4">
        <v>44340</v>
      </c>
      <c r="J46" s="4" t="s">
        <v>163</v>
      </c>
      <c r="K46" s="9" t="str">
        <f t="shared" si="4"/>
        <v>N/A</v>
      </c>
      <c r="L46" s="4">
        <v>35322</v>
      </c>
      <c r="M46" s="33">
        <f t="shared" si="5"/>
        <v>24.694444444444443</v>
      </c>
      <c r="N46" s="9">
        <f>ROUNDDOWN(CreditCardData[[#This Row],[Yrs with Bank at Open]],0)</f>
        <v>24</v>
      </c>
      <c r="O46" s="1" t="s">
        <v>94</v>
      </c>
      <c r="P46" s="1" t="s">
        <v>89</v>
      </c>
      <c r="Q46" s="7">
        <v>68976.47</v>
      </c>
      <c r="R46" s="10">
        <v>1</v>
      </c>
      <c r="S46" s="10">
        <v>1</v>
      </c>
      <c r="T46" s="19" t="s">
        <v>84</v>
      </c>
    </row>
    <row r="47" spans="2:20" x14ac:dyDescent="0.25">
      <c r="B47" s="18">
        <v>45</v>
      </c>
      <c r="C47" s="2" t="s">
        <v>118</v>
      </c>
      <c r="D47" s="2" t="s">
        <v>117</v>
      </c>
      <c r="E47" s="10" t="s">
        <v>79</v>
      </c>
      <c r="F47" s="3">
        <v>23141</v>
      </c>
      <c r="G47" s="79">
        <f t="shared" si="3"/>
        <v>58.25277777777778</v>
      </c>
      <c r="H47" s="39">
        <f>ROUNDDOWN(CreditCardData[[#This Row],[Age at Open]],0)</f>
        <v>58</v>
      </c>
      <c r="I47" s="4">
        <v>44419</v>
      </c>
      <c r="J47" s="4">
        <v>44431</v>
      </c>
      <c r="K47" s="9">
        <f t="shared" si="4"/>
        <v>12</v>
      </c>
      <c r="L47" s="4">
        <v>40078</v>
      </c>
      <c r="M47" s="33">
        <f t="shared" si="5"/>
        <v>11.886111111111111</v>
      </c>
      <c r="N47" s="9">
        <f>ROUNDDOWN(CreditCardData[[#This Row],[Yrs with Bank at Open]],0)</f>
        <v>11</v>
      </c>
      <c r="O47" s="1" t="s">
        <v>89</v>
      </c>
      <c r="P47" s="1" t="s">
        <v>89</v>
      </c>
      <c r="Q47" s="7">
        <v>18399.439999999999</v>
      </c>
      <c r="R47" s="10">
        <v>2</v>
      </c>
      <c r="S47" s="10">
        <v>0</v>
      </c>
      <c r="T47" s="19" t="s">
        <v>84</v>
      </c>
    </row>
    <row r="48" spans="2:20" x14ac:dyDescent="0.25">
      <c r="B48" s="18">
        <v>46</v>
      </c>
      <c r="C48" s="2" t="s">
        <v>120</v>
      </c>
      <c r="D48" s="2" t="s">
        <v>119</v>
      </c>
      <c r="E48" s="10" t="s">
        <v>79</v>
      </c>
      <c r="F48" s="3">
        <v>32919</v>
      </c>
      <c r="G48" s="79">
        <f t="shared" si="3"/>
        <v>31.2</v>
      </c>
      <c r="H48" s="39">
        <f>ROUNDDOWN(CreditCardData[[#This Row],[Age at Open]],0)</f>
        <v>31</v>
      </c>
      <c r="I48" s="4">
        <v>44313</v>
      </c>
      <c r="J48" s="4">
        <v>44319</v>
      </c>
      <c r="K48" s="9">
        <f t="shared" si="4"/>
        <v>6</v>
      </c>
      <c r="L48" s="4">
        <v>39352</v>
      </c>
      <c r="M48" s="33">
        <f t="shared" si="5"/>
        <v>13.583333333333334</v>
      </c>
      <c r="N48" s="9">
        <f>ROUNDDOWN(CreditCardData[[#This Row],[Yrs with Bank at Open]],0)</f>
        <v>13</v>
      </c>
      <c r="O48" s="1" t="s">
        <v>94</v>
      </c>
      <c r="P48" s="1" t="s">
        <v>156</v>
      </c>
      <c r="Q48" s="7">
        <v>5860.51</v>
      </c>
      <c r="R48" s="10">
        <v>3</v>
      </c>
      <c r="S48" s="10">
        <v>0</v>
      </c>
      <c r="T48" s="19" t="s">
        <v>87</v>
      </c>
    </row>
    <row r="49" spans="2:20" x14ac:dyDescent="0.25">
      <c r="B49" s="18">
        <v>47</v>
      </c>
      <c r="C49" s="2" t="s">
        <v>28</v>
      </c>
      <c r="D49" s="2" t="s">
        <v>121</v>
      </c>
      <c r="E49" s="10" t="s">
        <v>79</v>
      </c>
      <c r="F49" s="3">
        <v>23287</v>
      </c>
      <c r="G49" s="79">
        <f t="shared" si="3"/>
        <v>58.12777777777778</v>
      </c>
      <c r="H49" s="39">
        <f>ROUNDDOWN(CreditCardData[[#This Row],[Age at Open]],0)</f>
        <v>58</v>
      </c>
      <c r="I49" s="4">
        <v>44519</v>
      </c>
      <c r="J49" s="4">
        <v>44544</v>
      </c>
      <c r="K49" s="9">
        <f t="shared" si="4"/>
        <v>25</v>
      </c>
      <c r="L49" s="4">
        <v>33589</v>
      </c>
      <c r="M49" s="33">
        <f t="shared" si="5"/>
        <v>29.922222222222221</v>
      </c>
      <c r="N49" s="9">
        <f>ROUNDDOWN(CreditCardData[[#This Row],[Yrs with Bank at Open]],0)</f>
        <v>29</v>
      </c>
      <c r="O49" s="1" t="s">
        <v>94</v>
      </c>
      <c r="P49" s="1" t="s">
        <v>100</v>
      </c>
      <c r="Q49" s="7">
        <v>208247.05</v>
      </c>
      <c r="R49" s="10">
        <v>2</v>
      </c>
      <c r="S49" s="10">
        <v>0</v>
      </c>
      <c r="T49" s="19" t="s">
        <v>86</v>
      </c>
    </row>
    <row r="50" spans="2:20" x14ac:dyDescent="0.25">
      <c r="B50" s="18">
        <v>48</v>
      </c>
      <c r="C50" s="2" t="s">
        <v>123</v>
      </c>
      <c r="D50" s="6" t="s">
        <v>122</v>
      </c>
      <c r="E50" s="10" t="s">
        <v>79</v>
      </c>
      <c r="F50" s="3">
        <v>31109</v>
      </c>
      <c r="G50" s="79">
        <f t="shared" si="3"/>
        <v>35.977777777777774</v>
      </c>
      <c r="H50" s="39">
        <f>ROUNDDOWN(CreditCardData[[#This Row],[Age at Open]],0)</f>
        <v>35</v>
      </c>
      <c r="I50" s="4">
        <v>44252</v>
      </c>
      <c r="J50" s="4">
        <v>44261</v>
      </c>
      <c r="K50" s="9">
        <f t="shared" si="4"/>
        <v>9</v>
      </c>
      <c r="L50" s="4">
        <v>38092</v>
      </c>
      <c r="M50" s="33">
        <f t="shared" si="5"/>
        <v>16.861111111111111</v>
      </c>
      <c r="N50" s="9">
        <f>ROUNDDOWN(CreditCardData[[#This Row],[Yrs with Bank at Open]],0)</f>
        <v>16</v>
      </c>
      <c r="O50" s="1" t="s">
        <v>94</v>
      </c>
      <c r="P50" s="1" t="s">
        <v>89</v>
      </c>
      <c r="Q50" s="7">
        <v>1151.75</v>
      </c>
      <c r="R50" s="10">
        <v>2</v>
      </c>
      <c r="S50" s="10">
        <v>0</v>
      </c>
      <c r="T50" s="19" t="s">
        <v>84</v>
      </c>
    </row>
    <row r="51" spans="2:20" x14ac:dyDescent="0.25">
      <c r="B51" s="18">
        <v>49</v>
      </c>
      <c r="C51" s="2" t="s">
        <v>125</v>
      </c>
      <c r="D51" s="2" t="s">
        <v>124</v>
      </c>
      <c r="E51" s="10" t="s">
        <v>78</v>
      </c>
      <c r="F51" s="3">
        <v>31864</v>
      </c>
      <c r="G51" s="79">
        <f t="shared" si="3"/>
        <v>34.241666666666667</v>
      </c>
      <c r="H51" s="39">
        <f>ROUNDDOWN(CreditCardData[[#This Row],[Age at Open]],0)</f>
        <v>34</v>
      </c>
      <c r="I51" s="4">
        <v>44372</v>
      </c>
      <c r="J51" s="4">
        <v>44384</v>
      </c>
      <c r="K51" s="9">
        <f t="shared" si="4"/>
        <v>12</v>
      </c>
      <c r="L51" s="4">
        <v>44238</v>
      </c>
      <c r="M51" s="33">
        <f t="shared" si="5"/>
        <v>0.37222222222222223</v>
      </c>
      <c r="N51" s="9">
        <f>ROUNDDOWN(CreditCardData[[#This Row],[Yrs with Bank at Open]],0)</f>
        <v>0</v>
      </c>
      <c r="O51" s="1" t="s">
        <v>97</v>
      </c>
      <c r="P51" s="1" t="s">
        <v>157</v>
      </c>
      <c r="Q51" s="7">
        <v>3350.17</v>
      </c>
      <c r="R51" s="10">
        <v>1</v>
      </c>
      <c r="S51" s="10">
        <v>0</v>
      </c>
      <c r="T51" s="19" t="s">
        <v>86</v>
      </c>
    </row>
    <row r="52" spans="2:20" x14ac:dyDescent="0.25">
      <c r="B52" s="18">
        <v>50</v>
      </c>
      <c r="C52" s="2" t="s">
        <v>29</v>
      </c>
      <c r="D52" s="2" t="s">
        <v>126</v>
      </c>
      <c r="E52" s="10" t="s">
        <v>79</v>
      </c>
      <c r="F52" s="3">
        <v>30576</v>
      </c>
      <c r="G52" s="79">
        <f t="shared" si="3"/>
        <v>38.047222222222224</v>
      </c>
      <c r="H52" s="39">
        <f>ROUNDDOWN(CreditCardData[[#This Row],[Age at Open]],0)</f>
        <v>38</v>
      </c>
      <c r="I52" s="4">
        <v>44473</v>
      </c>
      <c r="J52" s="4">
        <v>44478</v>
      </c>
      <c r="K52" s="9">
        <f t="shared" si="4"/>
        <v>5</v>
      </c>
      <c r="L52" s="4">
        <v>37246</v>
      </c>
      <c r="M52" s="33">
        <f t="shared" si="5"/>
        <v>19.786111111111111</v>
      </c>
      <c r="N52" s="9">
        <f>ROUNDDOWN(CreditCardData[[#This Row],[Yrs with Bank at Open]],0)</f>
        <v>19</v>
      </c>
      <c r="O52" s="1" t="s">
        <v>88</v>
      </c>
      <c r="P52" s="1" t="s">
        <v>89</v>
      </c>
      <c r="Q52" s="7">
        <v>806.26</v>
      </c>
      <c r="R52" s="10">
        <v>2</v>
      </c>
      <c r="S52" s="10">
        <v>0</v>
      </c>
      <c r="T52" s="19" t="s">
        <v>87</v>
      </c>
    </row>
    <row r="53" spans="2:20" x14ac:dyDescent="0.25">
      <c r="B53" s="18">
        <v>51</v>
      </c>
      <c r="C53" s="2" t="s">
        <v>128</v>
      </c>
      <c r="D53" s="2" t="s">
        <v>127</v>
      </c>
      <c r="E53" s="10" t="s">
        <v>78</v>
      </c>
      <c r="F53" s="3">
        <v>19608</v>
      </c>
      <c r="G53" s="79">
        <f t="shared" si="3"/>
        <v>67.802777777777777</v>
      </c>
      <c r="H53" s="39">
        <f>ROUNDDOWN(CreditCardData[[#This Row],[Age at Open]],0)</f>
        <v>67</v>
      </c>
      <c r="I53" s="4">
        <v>44372</v>
      </c>
      <c r="J53" s="4">
        <v>44400</v>
      </c>
      <c r="K53" s="9">
        <f t="shared" si="4"/>
        <v>28</v>
      </c>
      <c r="L53" s="4">
        <v>43586</v>
      </c>
      <c r="M53" s="33">
        <f t="shared" si="5"/>
        <v>2.15</v>
      </c>
      <c r="N53" s="9">
        <f>ROUNDDOWN(CreditCardData[[#This Row],[Yrs with Bank at Open]],0)</f>
        <v>2</v>
      </c>
      <c r="O53" s="1" t="s">
        <v>94</v>
      </c>
      <c r="P53" s="1" t="s">
        <v>89</v>
      </c>
      <c r="Q53" s="7">
        <v>63748.85</v>
      </c>
      <c r="R53" s="10">
        <v>2</v>
      </c>
      <c r="S53" s="10">
        <v>0</v>
      </c>
      <c r="T53" s="19" t="s">
        <v>84</v>
      </c>
    </row>
    <row r="54" spans="2:20" x14ac:dyDescent="0.25">
      <c r="B54" s="18">
        <v>52</v>
      </c>
      <c r="C54" s="2" t="s">
        <v>130</v>
      </c>
      <c r="D54" s="2" t="s">
        <v>129</v>
      </c>
      <c r="E54" s="10" t="s">
        <v>78</v>
      </c>
      <c r="F54" s="3">
        <v>21306</v>
      </c>
      <c r="G54" s="79">
        <f t="shared" si="3"/>
        <v>62.780555555555559</v>
      </c>
      <c r="H54" s="39">
        <f>ROUNDDOWN(CreditCardData[[#This Row],[Age at Open]],0)</f>
        <v>62</v>
      </c>
      <c r="I54" s="4">
        <v>44239</v>
      </c>
      <c r="J54" s="4">
        <v>44258</v>
      </c>
      <c r="K54" s="9">
        <f t="shared" si="4"/>
        <v>19</v>
      </c>
      <c r="L54" s="4">
        <v>44174</v>
      </c>
      <c r="M54" s="33">
        <f t="shared" si="5"/>
        <v>0.17499999999999999</v>
      </c>
      <c r="N54" s="9">
        <f>ROUNDDOWN(CreditCardData[[#This Row],[Yrs with Bank at Open]],0)</f>
        <v>0</v>
      </c>
      <c r="O54" s="1" t="s">
        <v>158</v>
      </c>
      <c r="P54" s="1" t="s">
        <v>157</v>
      </c>
      <c r="Q54" s="7">
        <v>19324.330000000002</v>
      </c>
      <c r="R54" s="10">
        <v>1</v>
      </c>
      <c r="S54" s="10">
        <v>0</v>
      </c>
      <c r="T54" s="19" t="s">
        <v>84</v>
      </c>
    </row>
    <row r="55" spans="2:20" x14ac:dyDescent="0.25">
      <c r="B55" s="18">
        <v>53</v>
      </c>
      <c r="C55" s="2" t="s">
        <v>132</v>
      </c>
      <c r="D55" s="2" t="s">
        <v>131</v>
      </c>
      <c r="E55" s="10" t="s">
        <v>79</v>
      </c>
      <c r="F55" s="3">
        <v>29092</v>
      </c>
      <c r="G55" s="79">
        <f t="shared" si="3"/>
        <v>42.052777777777777</v>
      </c>
      <c r="H55" s="39">
        <f>ROUNDDOWN(CreditCardData[[#This Row],[Age at Open]],0)</f>
        <v>42</v>
      </c>
      <c r="I55" s="4">
        <v>44453</v>
      </c>
      <c r="J55" s="4">
        <v>44468</v>
      </c>
      <c r="K55" s="9">
        <f t="shared" si="4"/>
        <v>15</v>
      </c>
      <c r="L55" s="4">
        <v>41694</v>
      </c>
      <c r="M55" s="33">
        <f t="shared" si="5"/>
        <v>7.5555555555555554</v>
      </c>
      <c r="N55" s="9">
        <f>ROUNDDOWN(CreditCardData[[#This Row],[Yrs with Bank at Open]],0)</f>
        <v>7</v>
      </c>
      <c r="O55" s="1" t="s">
        <v>94</v>
      </c>
      <c r="P55" s="1" t="s">
        <v>99</v>
      </c>
      <c r="Q55" s="7">
        <v>1901.36</v>
      </c>
      <c r="R55" s="10">
        <v>2</v>
      </c>
      <c r="S55" s="10">
        <v>0</v>
      </c>
      <c r="T55" s="19" t="s">
        <v>87</v>
      </c>
    </row>
    <row r="56" spans="2:20" x14ac:dyDescent="0.25">
      <c r="B56" s="18">
        <v>54</v>
      </c>
      <c r="C56" s="2" t="s">
        <v>134</v>
      </c>
      <c r="D56" s="6" t="s">
        <v>133</v>
      </c>
      <c r="E56" s="10" t="s">
        <v>78</v>
      </c>
      <c r="F56" s="3">
        <v>23582</v>
      </c>
      <c r="G56" s="79">
        <f t="shared" si="3"/>
        <v>57.027777777777779</v>
      </c>
      <c r="H56" s="39">
        <f>ROUNDDOWN(CreditCardData[[#This Row],[Age at Open]],0)</f>
        <v>57</v>
      </c>
      <c r="I56" s="4">
        <v>44412</v>
      </c>
      <c r="J56" s="4">
        <v>44439</v>
      </c>
      <c r="K56" s="9">
        <f t="shared" si="4"/>
        <v>27</v>
      </c>
      <c r="L56" s="4">
        <v>43382</v>
      </c>
      <c r="M56" s="33">
        <f t="shared" si="5"/>
        <v>2.8194444444444446</v>
      </c>
      <c r="N56" s="9">
        <f>ROUNDDOWN(CreditCardData[[#This Row],[Yrs with Bank at Open]],0)</f>
        <v>2</v>
      </c>
      <c r="O56" s="1" t="s">
        <v>89</v>
      </c>
      <c r="P56" s="1" t="s">
        <v>100</v>
      </c>
      <c r="Q56" s="7">
        <v>2339.67</v>
      </c>
      <c r="R56" s="10">
        <v>2</v>
      </c>
      <c r="S56" s="10">
        <v>1</v>
      </c>
      <c r="T56" s="19" t="s">
        <v>86</v>
      </c>
    </row>
    <row r="57" spans="2:20" x14ac:dyDescent="0.25">
      <c r="B57" s="18">
        <v>55</v>
      </c>
      <c r="C57" s="2" t="s">
        <v>136</v>
      </c>
      <c r="D57" s="2" t="s">
        <v>135</v>
      </c>
      <c r="E57" s="10" t="s">
        <v>79</v>
      </c>
      <c r="F57" s="3">
        <v>25943</v>
      </c>
      <c r="G57" s="79">
        <f t="shared" si="3"/>
        <v>50.580555555555556</v>
      </c>
      <c r="H57" s="39">
        <f>ROUNDDOWN(CreditCardData[[#This Row],[Age at Open]],0)</f>
        <v>50</v>
      </c>
      <c r="I57" s="4">
        <v>44417</v>
      </c>
      <c r="J57" s="4">
        <v>44428</v>
      </c>
      <c r="K57" s="9">
        <f t="shared" si="4"/>
        <v>11</v>
      </c>
      <c r="L57" s="4">
        <v>34530</v>
      </c>
      <c r="M57" s="33">
        <f t="shared" si="5"/>
        <v>27.066666666666666</v>
      </c>
      <c r="N57" s="9">
        <f>ROUNDDOWN(CreditCardData[[#This Row],[Yrs with Bank at Open]],0)</f>
        <v>27</v>
      </c>
      <c r="O57" s="1" t="s">
        <v>94</v>
      </c>
      <c r="P57" s="1" t="s">
        <v>89</v>
      </c>
      <c r="Q57" s="7">
        <v>18468.900000000001</v>
      </c>
      <c r="R57" s="10">
        <v>1</v>
      </c>
      <c r="S57" s="10">
        <v>0</v>
      </c>
      <c r="T57" s="19" t="s">
        <v>84</v>
      </c>
    </row>
    <row r="58" spans="2:20" x14ac:dyDescent="0.25">
      <c r="B58" s="18">
        <v>56</v>
      </c>
      <c r="C58" s="2" t="s">
        <v>138</v>
      </c>
      <c r="D58" s="2" t="s">
        <v>137</v>
      </c>
      <c r="E58" s="10" t="s">
        <v>78</v>
      </c>
      <c r="F58" s="3">
        <v>13147</v>
      </c>
      <c r="G58" s="79">
        <f t="shared" si="3"/>
        <v>85.808333333333337</v>
      </c>
      <c r="H58" s="39">
        <f>ROUNDDOWN(CreditCardData[[#This Row],[Age at Open]],0)</f>
        <v>85</v>
      </c>
      <c r="I58" s="4">
        <v>44489</v>
      </c>
      <c r="J58" s="4">
        <v>44502</v>
      </c>
      <c r="K58" s="9">
        <f t="shared" si="4"/>
        <v>13</v>
      </c>
      <c r="L58" s="4">
        <v>32379</v>
      </c>
      <c r="M58" s="33">
        <f t="shared" si="5"/>
        <v>33.155555555555559</v>
      </c>
      <c r="N58" s="9">
        <f>ROUNDDOWN(CreditCardData[[#This Row],[Yrs with Bank at Open]],0)</f>
        <v>33</v>
      </c>
      <c r="O58" s="1" t="s">
        <v>94</v>
      </c>
      <c r="P58" s="1" t="s">
        <v>89</v>
      </c>
      <c r="Q58" s="7">
        <v>428136.55</v>
      </c>
      <c r="R58" s="10">
        <v>6</v>
      </c>
      <c r="S58" s="10">
        <v>0</v>
      </c>
      <c r="T58" s="19" t="s">
        <v>84</v>
      </c>
    </row>
    <row r="59" spans="2:20" x14ac:dyDescent="0.25">
      <c r="B59" s="18">
        <v>57</v>
      </c>
      <c r="C59" s="2" t="s">
        <v>15</v>
      </c>
      <c r="D59" s="2" t="s">
        <v>139</v>
      </c>
      <c r="E59" s="10" t="s">
        <v>79</v>
      </c>
      <c r="F59" s="3">
        <v>29571</v>
      </c>
      <c r="G59" s="79">
        <f t="shared" si="3"/>
        <v>40.380555555555553</v>
      </c>
      <c r="H59" s="39">
        <f>ROUNDDOWN(CreditCardData[[#This Row],[Age at Open]],0)</f>
        <v>40</v>
      </c>
      <c r="I59" s="4">
        <v>44319</v>
      </c>
      <c r="J59" s="4">
        <v>44327</v>
      </c>
      <c r="K59" s="9">
        <f t="shared" si="4"/>
        <v>8</v>
      </c>
      <c r="L59" s="4">
        <v>41934</v>
      </c>
      <c r="M59" s="33">
        <f t="shared" si="5"/>
        <v>6.5305555555555559</v>
      </c>
      <c r="N59" s="9">
        <f>ROUNDDOWN(CreditCardData[[#This Row],[Yrs with Bank at Open]],0)</f>
        <v>6</v>
      </c>
      <c r="O59" s="1" t="s">
        <v>94</v>
      </c>
      <c r="P59" s="1" t="s">
        <v>99</v>
      </c>
      <c r="Q59" s="7">
        <v>5.84</v>
      </c>
      <c r="R59" s="10">
        <v>1</v>
      </c>
      <c r="S59" s="10">
        <v>1</v>
      </c>
      <c r="T59" s="19" t="s">
        <v>84</v>
      </c>
    </row>
    <row r="60" spans="2:20" x14ac:dyDescent="0.25">
      <c r="B60" s="18">
        <v>58</v>
      </c>
      <c r="C60" s="2" t="s">
        <v>32</v>
      </c>
      <c r="D60" s="6" t="s">
        <v>140</v>
      </c>
      <c r="E60" s="10" t="s">
        <v>79</v>
      </c>
      <c r="F60" s="3">
        <v>24295</v>
      </c>
      <c r="G60" s="79">
        <f t="shared" si="3"/>
        <v>54.727777777777774</v>
      </c>
      <c r="H60" s="39">
        <f>ROUNDDOWN(CreditCardData[[#This Row],[Age at Open]],0)</f>
        <v>54</v>
      </c>
      <c r="I60" s="4">
        <v>44284</v>
      </c>
      <c r="J60" s="4">
        <v>44439</v>
      </c>
      <c r="K60" s="9">
        <f t="shared" si="4"/>
        <v>155</v>
      </c>
      <c r="L60" s="4">
        <v>39274</v>
      </c>
      <c r="M60" s="33">
        <f t="shared" si="5"/>
        <v>13.716666666666667</v>
      </c>
      <c r="N60" s="9">
        <f>ROUNDDOWN(CreditCardData[[#This Row],[Yrs with Bank at Open]],0)</f>
        <v>13</v>
      </c>
      <c r="O60" s="1" t="s">
        <v>94</v>
      </c>
      <c r="P60" s="1" t="s">
        <v>100</v>
      </c>
      <c r="Q60" s="7">
        <v>116011.61</v>
      </c>
      <c r="R60" s="10">
        <v>4</v>
      </c>
      <c r="S60" s="10">
        <v>0</v>
      </c>
      <c r="T60" s="19" t="s">
        <v>86</v>
      </c>
    </row>
    <row r="61" spans="2:20" x14ac:dyDescent="0.25">
      <c r="B61" s="18">
        <v>59</v>
      </c>
      <c r="C61" s="2" t="s">
        <v>142</v>
      </c>
      <c r="D61" s="2" t="s">
        <v>141</v>
      </c>
      <c r="E61" s="10" t="s">
        <v>79</v>
      </c>
      <c r="F61" s="3">
        <v>22693</v>
      </c>
      <c r="G61" s="79">
        <f t="shared" si="3"/>
        <v>59.836111111111109</v>
      </c>
      <c r="H61" s="39">
        <f>ROUNDDOWN(CreditCardData[[#This Row],[Age at Open]],0)</f>
        <v>59</v>
      </c>
      <c r="I61" s="4">
        <v>44547</v>
      </c>
      <c r="J61" s="4">
        <v>44557</v>
      </c>
      <c r="K61" s="9">
        <f t="shared" si="4"/>
        <v>10</v>
      </c>
      <c r="L61" s="4">
        <v>33680</v>
      </c>
      <c r="M61" s="33">
        <f t="shared" si="5"/>
        <v>29.75</v>
      </c>
      <c r="N61" s="9">
        <f>ROUNDDOWN(CreditCardData[[#This Row],[Yrs with Bank at Open]],0)</f>
        <v>29</v>
      </c>
      <c r="O61" s="1" t="s">
        <v>94</v>
      </c>
      <c r="P61" s="1" t="s">
        <v>99</v>
      </c>
      <c r="Q61" s="7">
        <v>35053.99</v>
      </c>
      <c r="R61" s="10">
        <v>5</v>
      </c>
      <c r="S61" s="10">
        <v>0</v>
      </c>
      <c r="T61" s="19" t="s">
        <v>84</v>
      </c>
    </row>
    <row r="62" spans="2:20" x14ac:dyDescent="0.25">
      <c r="B62" s="18">
        <v>60</v>
      </c>
      <c r="C62" s="2" t="s">
        <v>144</v>
      </c>
      <c r="D62" s="6" t="s">
        <v>143</v>
      </c>
      <c r="E62" s="10" t="s">
        <v>79</v>
      </c>
      <c r="F62" s="3">
        <v>30628</v>
      </c>
      <c r="G62" s="79">
        <f t="shared" si="3"/>
        <v>38.022222222222226</v>
      </c>
      <c r="H62" s="39">
        <f>ROUNDDOWN(CreditCardData[[#This Row],[Age at Open]],0)</f>
        <v>38</v>
      </c>
      <c r="I62" s="4">
        <v>44516</v>
      </c>
      <c r="J62" s="4">
        <v>44525</v>
      </c>
      <c r="K62" s="9">
        <f t="shared" si="4"/>
        <v>9</v>
      </c>
      <c r="L62" s="4">
        <v>43027</v>
      </c>
      <c r="M62" s="33">
        <f t="shared" si="5"/>
        <v>4.0750000000000002</v>
      </c>
      <c r="N62" s="9">
        <f>ROUNDDOWN(CreditCardData[[#This Row],[Yrs with Bank at Open]],0)</f>
        <v>4</v>
      </c>
      <c r="O62" s="1" t="s">
        <v>89</v>
      </c>
      <c r="P62" s="1" t="s">
        <v>100</v>
      </c>
      <c r="Q62" s="7">
        <v>869.22</v>
      </c>
      <c r="R62" s="10">
        <v>3</v>
      </c>
      <c r="S62" s="10">
        <v>0</v>
      </c>
      <c r="T62" s="19" t="s">
        <v>87</v>
      </c>
    </row>
    <row r="63" spans="2:20" x14ac:dyDescent="0.25">
      <c r="B63" s="18">
        <v>61</v>
      </c>
      <c r="C63" s="2" t="s">
        <v>146</v>
      </c>
      <c r="D63" s="2" t="s">
        <v>145</v>
      </c>
      <c r="E63" s="10" t="s">
        <v>79</v>
      </c>
      <c r="F63" s="3">
        <v>23804</v>
      </c>
      <c r="G63" s="79">
        <f t="shared" si="3"/>
        <v>56</v>
      </c>
      <c r="H63" s="39">
        <f>ROUNDDOWN(CreditCardData[[#This Row],[Age at Open]],0)</f>
        <v>56</v>
      </c>
      <c r="I63" s="4">
        <v>44258</v>
      </c>
      <c r="J63" s="4">
        <v>44265</v>
      </c>
      <c r="K63" s="9">
        <f t="shared" si="4"/>
        <v>7</v>
      </c>
      <c r="L63" s="4">
        <v>43006</v>
      </c>
      <c r="M63" s="33">
        <f t="shared" si="5"/>
        <v>3.4305555555555554</v>
      </c>
      <c r="N63" s="9">
        <f>ROUNDDOWN(CreditCardData[[#This Row],[Yrs with Bank at Open]],0)</f>
        <v>3</v>
      </c>
      <c r="O63" s="1" t="s">
        <v>94</v>
      </c>
      <c r="P63" s="1" t="s">
        <v>89</v>
      </c>
      <c r="Q63" s="7">
        <v>26098.31</v>
      </c>
      <c r="R63" s="10">
        <v>2</v>
      </c>
      <c r="S63" s="10">
        <v>0</v>
      </c>
      <c r="T63" s="19" t="s">
        <v>87</v>
      </c>
    </row>
    <row r="64" spans="2:20" x14ac:dyDescent="0.25">
      <c r="B64" s="18">
        <v>62</v>
      </c>
      <c r="C64" s="2" t="s">
        <v>148</v>
      </c>
      <c r="D64" s="2" t="s">
        <v>147</v>
      </c>
      <c r="E64" s="10" t="s">
        <v>78</v>
      </c>
      <c r="F64" s="3">
        <v>23207</v>
      </c>
      <c r="G64" s="79">
        <f t="shared" si="3"/>
        <v>58.422222222222224</v>
      </c>
      <c r="H64" s="39">
        <f>ROUNDDOWN(CreditCardData[[#This Row],[Age at Open]],0)</f>
        <v>58</v>
      </c>
      <c r="I64" s="4">
        <v>44547</v>
      </c>
      <c r="J64" s="4">
        <v>44558</v>
      </c>
      <c r="K64" s="9">
        <f t="shared" si="4"/>
        <v>11</v>
      </c>
      <c r="L64" s="4">
        <v>44547</v>
      </c>
      <c r="M64" s="33">
        <f t="shared" si="5"/>
        <v>0</v>
      </c>
      <c r="N64" s="9">
        <f>ROUNDDOWN(CreditCardData[[#This Row],[Yrs with Bank at Open]],0)</f>
        <v>0</v>
      </c>
      <c r="O64" s="1" t="s">
        <v>94</v>
      </c>
      <c r="P64" s="1" t="s">
        <v>89</v>
      </c>
      <c r="Q64" s="7">
        <v>32940.9</v>
      </c>
      <c r="R64" s="10">
        <v>1</v>
      </c>
      <c r="S64" s="10">
        <v>0</v>
      </c>
      <c r="T64" s="19" t="s">
        <v>84</v>
      </c>
    </row>
    <row r="65" spans="2:20" x14ac:dyDescent="0.25">
      <c r="B65" s="18">
        <v>63</v>
      </c>
      <c r="C65" s="2" t="s">
        <v>150</v>
      </c>
      <c r="D65" s="2" t="s">
        <v>149</v>
      </c>
      <c r="E65" s="10" t="s">
        <v>79</v>
      </c>
      <c r="F65" s="3">
        <v>27561</v>
      </c>
      <c r="G65" s="79">
        <f t="shared" si="3"/>
        <v>46.397222222222226</v>
      </c>
      <c r="H65" s="39">
        <f>ROUNDDOWN(CreditCardData[[#This Row],[Age at Open]],0)</f>
        <v>46</v>
      </c>
      <c r="I65" s="4">
        <v>44509</v>
      </c>
      <c r="J65" s="4">
        <v>44515</v>
      </c>
      <c r="K65" s="9">
        <f t="shared" si="4"/>
        <v>6</v>
      </c>
      <c r="L65" s="4">
        <v>41516</v>
      </c>
      <c r="M65" s="33">
        <f t="shared" si="5"/>
        <v>8.1916666666666664</v>
      </c>
      <c r="N65" s="9">
        <f>ROUNDDOWN(CreditCardData[[#This Row],[Yrs with Bank at Open]],0)</f>
        <v>8</v>
      </c>
      <c r="O65" s="1" t="s">
        <v>96</v>
      </c>
      <c r="P65" s="1" t="s">
        <v>99</v>
      </c>
      <c r="Q65" s="7">
        <v>156</v>
      </c>
      <c r="R65" s="10">
        <v>1</v>
      </c>
      <c r="S65" s="10">
        <v>0</v>
      </c>
      <c r="T65" s="19" t="s">
        <v>85</v>
      </c>
    </row>
    <row r="66" spans="2:20" x14ac:dyDescent="0.25">
      <c r="B66" s="18">
        <v>64</v>
      </c>
      <c r="C66" s="2" t="s">
        <v>152</v>
      </c>
      <c r="D66" s="6" t="s">
        <v>151</v>
      </c>
      <c r="E66" s="10" t="s">
        <v>78</v>
      </c>
      <c r="F66" s="3">
        <v>18130</v>
      </c>
      <c r="G66" s="79">
        <f t="shared" si="3"/>
        <v>71.827777777777783</v>
      </c>
      <c r="H66" s="39">
        <f>ROUNDDOWN(CreditCardData[[#This Row],[Age at Open]],0)</f>
        <v>71</v>
      </c>
      <c r="I66" s="4">
        <v>44365</v>
      </c>
      <c r="J66" s="4">
        <v>44484</v>
      </c>
      <c r="K66" s="9">
        <f t="shared" si="4"/>
        <v>119</v>
      </c>
      <c r="L66" s="4">
        <v>40360</v>
      </c>
      <c r="M66" s="33">
        <f t="shared" si="5"/>
        <v>10.963888888888889</v>
      </c>
      <c r="N66" s="9">
        <f>ROUNDDOWN(CreditCardData[[#This Row],[Yrs with Bank at Open]],0)</f>
        <v>10</v>
      </c>
      <c r="O66" s="1" t="s">
        <v>94</v>
      </c>
      <c r="P66" s="1" t="s">
        <v>100</v>
      </c>
      <c r="Q66" s="7">
        <v>283561.45</v>
      </c>
      <c r="R66" s="10">
        <v>6</v>
      </c>
      <c r="S66" s="10">
        <v>1</v>
      </c>
      <c r="T66" s="19" t="s">
        <v>84</v>
      </c>
    </row>
    <row r="67" spans="2:20" x14ac:dyDescent="0.25">
      <c r="B67" s="20">
        <v>65</v>
      </c>
      <c r="C67" s="21" t="s">
        <v>154</v>
      </c>
      <c r="D67" s="22" t="s">
        <v>153</v>
      </c>
      <c r="E67" s="107" t="s">
        <v>79</v>
      </c>
      <c r="F67" s="23">
        <v>31334</v>
      </c>
      <c r="G67" s="80">
        <f t="shared" ref="G67" si="6">YEARFRAC(F67,I67)</f>
        <v>36.169444444444444</v>
      </c>
      <c r="H67" s="40">
        <f>ROUNDDOWN(CreditCardData[[#This Row],[Age at Open]],0)</f>
        <v>36</v>
      </c>
      <c r="I67" s="24">
        <v>44545</v>
      </c>
      <c r="J67" s="24">
        <v>44557</v>
      </c>
      <c r="K67" s="31">
        <f t="shared" ref="K67" si="7">IFERROR(_xlfn.DAYS(J67,I67),"N/A")</f>
        <v>12</v>
      </c>
      <c r="L67" s="24">
        <v>39350</v>
      </c>
      <c r="M67" s="34">
        <f t="shared" ref="M67" si="8">YEARFRAC(L67,I67)</f>
        <v>14.222222222222221</v>
      </c>
      <c r="N67" s="31">
        <f>ROUNDDOWN(CreditCardData[[#This Row],[Yrs with Bank at Open]],0)</f>
        <v>14</v>
      </c>
      <c r="O67" s="108" t="s">
        <v>159</v>
      </c>
      <c r="P67" s="108" t="s">
        <v>160</v>
      </c>
      <c r="Q67" s="109">
        <v>59991.53</v>
      </c>
      <c r="R67" s="107">
        <v>6</v>
      </c>
      <c r="S67" s="107">
        <v>2</v>
      </c>
      <c r="T67" s="25" t="s">
        <v>85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2A307-A488-47B0-B6AD-960CFF1CC4AF}">
  <dimension ref="A1:L13"/>
  <sheetViews>
    <sheetView workbookViewId="0">
      <selection activeCell="K23" sqref="K23"/>
    </sheetView>
  </sheetViews>
  <sheetFormatPr defaultRowHeight="15" x14ac:dyDescent="0.25"/>
  <cols>
    <col min="1" max="1" width="32" bestFit="1" customWidth="1"/>
    <col min="2" max="2" width="16.28515625" bestFit="1" customWidth="1"/>
    <col min="3" max="3" width="9.7109375" bestFit="1" customWidth="1"/>
    <col min="4" max="4" width="17" bestFit="1" customWidth="1"/>
    <col min="5" max="5" width="8.42578125" bestFit="1" customWidth="1"/>
    <col min="6" max="6" width="18" bestFit="1" customWidth="1"/>
    <col min="7" max="7" width="10.85546875" bestFit="1" customWidth="1"/>
    <col min="8" max="8" width="14.5703125" bestFit="1" customWidth="1"/>
    <col min="9" max="9" width="12.85546875" bestFit="1" customWidth="1"/>
    <col min="10" max="10" width="13.85546875" bestFit="1" customWidth="1"/>
    <col min="11" max="11" width="14" bestFit="1" customWidth="1"/>
    <col min="12" max="12" width="11.28515625" bestFit="1" customWidth="1"/>
    <col min="13" max="13" width="22.140625" bestFit="1" customWidth="1"/>
    <col min="14" max="14" width="13.28515625" bestFit="1" customWidth="1"/>
    <col min="15" max="15" width="13.42578125" bestFit="1" customWidth="1"/>
    <col min="16" max="16" width="19.85546875" bestFit="1" customWidth="1"/>
    <col min="17" max="17" width="13.28515625" bestFit="1" customWidth="1"/>
    <col min="18" max="18" width="32.140625" bestFit="1" customWidth="1"/>
    <col min="19" max="19" width="23" bestFit="1" customWidth="1"/>
    <col min="20" max="20" width="32.140625" bestFit="1" customWidth="1"/>
    <col min="21" max="21" width="15.85546875" bestFit="1" customWidth="1"/>
    <col min="22" max="22" width="16.42578125" bestFit="1" customWidth="1"/>
    <col min="23" max="23" width="13.28515625" bestFit="1" customWidth="1"/>
    <col min="24" max="24" width="19.5703125" bestFit="1" customWidth="1"/>
    <col min="25" max="25" width="14.7109375" bestFit="1" customWidth="1"/>
    <col min="26" max="26" width="30.7109375" bestFit="1" customWidth="1"/>
    <col min="27" max="27" width="18" bestFit="1" customWidth="1"/>
    <col min="28" max="28" width="15.7109375" bestFit="1" customWidth="1"/>
    <col min="29" max="29" width="30.7109375" bestFit="1" customWidth="1"/>
    <col min="30" max="30" width="18.85546875" bestFit="1" customWidth="1"/>
    <col min="31" max="31" width="15.85546875" bestFit="1" customWidth="1"/>
    <col min="32" max="32" width="19" bestFit="1" customWidth="1"/>
    <col min="33" max="33" width="11.28515625" bestFit="1" customWidth="1"/>
  </cols>
  <sheetData>
    <row r="1" spans="1:12" x14ac:dyDescent="0.25">
      <c r="A1" s="35" t="s">
        <v>2</v>
      </c>
      <c r="B1" t="s">
        <v>164</v>
      </c>
    </row>
    <row r="2" spans="1:12" x14ac:dyDescent="0.25">
      <c r="A2" s="35" t="s">
        <v>194</v>
      </c>
      <c r="B2" t="s">
        <v>164</v>
      </c>
    </row>
    <row r="3" spans="1:12" x14ac:dyDescent="0.25">
      <c r="A3" s="35" t="s">
        <v>80</v>
      </c>
      <c r="B3" t="s">
        <v>164</v>
      </c>
    </row>
    <row r="4" spans="1:12" x14ac:dyDescent="0.25">
      <c r="A4" s="35" t="s">
        <v>91</v>
      </c>
      <c r="B4" t="s">
        <v>164</v>
      </c>
    </row>
    <row r="5" spans="1:12" x14ac:dyDescent="0.25">
      <c r="A5" s="35" t="s">
        <v>92</v>
      </c>
      <c r="B5" t="s">
        <v>164</v>
      </c>
    </row>
    <row r="7" spans="1:12" x14ac:dyDescent="0.25">
      <c r="A7" s="35" t="s">
        <v>168</v>
      </c>
      <c r="B7" s="35" t="s">
        <v>167</v>
      </c>
    </row>
    <row r="8" spans="1:12" x14ac:dyDescent="0.25">
      <c r="A8" s="35" t="s">
        <v>165</v>
      </c>
      <c r="B8" t="s">
        <v>97</v>
      </c>
      <c r="C8" t="s">
        <v>89</v>
      </c>
      <c r="D8" t="s">
        <v>100</v>
      </c>
      <c r="E8" t="s">
        <v>101</v>
      </c>
      <c r="F8" t="s">
        <v>99</v>
      </c>
      <c r="G8" t="s">
        <v>160</v>
      </c>
      <c r="H8" t="s">
        <v>98</v>
      </c>
      <c r="I8" t="s">
        <v>157</v>
      </c>
      <c r="J8" t="s">
        <v>96</v>
      </c>
      <c r="K8" t="s">
        <v>156</v>
      </c>
      <c r="L8" t="s">
        <v>166</v>
      </c>
    </row>
    <row r="9" spans="1:12" x14ac:dyDescent="0.25">
      <c r="A9" s="37" t="s">
        <v>87</v>
      </c>
      <c r="B9" s="36"/>
      <c r="C9" s="36">
        <v>2</v>
      </c>
      <c r="D9" s="36">
        <v>2</v>
      </c>
      <c r="E9" s="36"/>
      <c r="F9" s="36">
        <v>3</v>
      </c>
      <c r="G9" s="36"/>
      <c r="H9" s="36">
        <v>1</v>
      </c>
      <c r="I9" s="36"/>
      <c r="J9" s="36"/>
      <c r="K9" s="36">
        <v>1</v>
      </c>
      <c r="L9" s="36">
        <v>9</v>
      </c>
    </row>
    <row r="10" spans="1:12" x14ac:dyDescent="0.25">
      <c r="A10" s="37" t="s">
        <v>84</v>
      </c>
      <c r="B10" s="36">
        <v>1</v>
      </c>
      <c r="C10" s="36">
        <v>28</v>
      </c>
      <c r="D10" s="36">
        <v>2</v>
      </c>
      <c r="E10" s="36">
        <v>1</v>
      </c>
      <c r="F10" s="36">
        <v>9</v>
      </c>
      <c r="G10" s="36"/>
      <c r="H10" s="36">
        <v>1</v>
      </c>
      <c r="I10" s="36">
        <v>1</v>
      </c>
      <c r="J10" s="36">
        <v>2</v>
      </c>
      <c r="K10" s="36"/>
      <c r="L10" s="36">
        <v>45</v>
      </c>
    </row>
    <row r="11" spans="1:12" x14ac:dyDescent="0.25">
      <c r="A11" s="37" t="s">
        <v>86</v>
      </c>
      <c r="B11" s="36"/>
      <c r="C11" s="36">
        <v>2</v>
      </c>
      <c r="D11" s="36">
        <v>3</v>
      </c>
      <c r="E11" s="36"/>
      <c r="F11" s="36"/>
      <c r="G11" s="36"/>
      <c r="H11" s="36"/>
      <c r="I11" s="36">
        <v>1</v>
      </c>
      <c r="J11" s="36">
        <v>1</v>
      </c>
      <c r="K11" s="36"/>
      <c r="L11" s="36">
        <v>7</v>
      </c>
    </row>
    <row r="12" spans="1:12" x14ac:dyDescent="0.25">
      <c r="A12" s="37" t="s">
        <v>85</v>
      </c>
      <c r="B12" s="36"/>
      <c r="C12" s="36">
        <v>1</v>
      </c>
      <c r="D12" s="36">
        <v>1</v>
      </c>
      <c r="E12" s="36"/>
      <c r="F12" s="36">
        <v>1</v>
      </c>
      <c r="G12" s="36">
        <v>1</v>
      </c>
      <c r="H12" s="36"/>
      <c r="I12" s="36"/>
      <c r="J12" s="36"/>
      <c r="K12" s="36"/>
      <c r="L12" s="36">
        <v>4</v>
      </c>
    </row>
    <row r="13" spans="1:12" x14ac:dyDescent="0.25">
      <c r="A13" s="37" t="s">
        <v>166</v>
      </c>
      <c r="B13" s="36">
        <v>1</v>
      </c>
      <c r="C13" s="36">
        <v>33</v>
      </c>
      <c r="D13" s="36">
        <v>8</v>
      </c>
      <c r="E13" s="36">
        <v>1</v>
      </c>
      <c r="F13" s="36">
        <v>13</v>
      </c>
      <c r="G13" s="36">
        <v>1</v>
      </c>
      <c r="H13" s="36">
        <v>2</v>
      </c>
      <c r="I13" s="36">
        <v>2</v>
      </c>
      <c r="J13" s="36">
        <v>3</v>
      </c>
      <c r="K13" s="36">
        <v>1</v>
      </c>
      <c r="L13" s="36">
        <v>65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20BF-0799-4F43-942B-CDA5CBD180EE}">
  <dimension ref="C2:O66"/>
  <sheetViews>
    <sheetView tabSelected="1" workbookViewId="0">
      <selection activeCell="M23" sqref="M23"/>
    </sheetView>
  </sheetViews>
  <sheetFormatPr defaultRowHeight="15" x14ac:dyDescent="0.25"/>
  <cols>
    <col min="3" max="3" width="12.140625" bestFit="1" customWidth="1"/>
    <col min="4" max="4" width="10.5703125" bestFit="1" customWidth="1"/>
    <col min="6" max="6" width="18.7109375" bestFit="1" customWidth="1"/>
    <col min="8" max="8" width="11" bestFit="1" customWidth="1"/>
    <col min="10" max="10" width="15.140625" bestFit="1" customWidth="1"/>
    <col min="11" max="11" width="18" bestFit="1" customWidth="1"/>
    <col min="12" max="12" width="11" bestFit="1" customWidth="1"/>
    <col min="13" max="13" width="18.7109375" bestFit="1" customWidth="1"/>
    <col min="14" max="15" width="11.5703125" bestFit="1" customWidth="1"/>
  </cols>
  <sheetData>
    <row r="2" spans="3:15" x14ac:dyDescent="0.25">
      <c r="J2" s="63"/>
    </row>
    <row r="3" spans="3:15" x14ac:dyDescent="0.25">
      <c r="J3" s="63"/>
    </row>
    <row r="4" spans="3:15" x14ac:dyDescent="0.25">
      <c r="C4" s="120" t="s">
        <v>170</v>
      </c>
      <c r="D4" s="121"/>
      <c r="F4" s="120" t="s">
        <v>170</v>
      </c>
      <c r="G4" s="122"/>
      <c r="H4" s="121"/>
      <c r="J4" s="120" t="s">
        <v>170</v>
      </c>
      <c r="K4" s="121"/>
      <c r="M4" s="120" t="s">
        <v>2</v>
      </c>
      <c r="N4" s="122"/>
      <c r="O4" s="121"/>
    </row>
    <row r="5" spans="3:15" ht="18" x14ac:dyDescent="0.35">
      <c r="C5" s="41" t="s">
        <v>171</v>
      </c>
      <c r="D5" s="64">
        <f>AVERAGE(CreditCardData[Age at Open])</f>
        <v>56.835598290598313</v>
      </c>
      <c r="F5" s="89" t="s">
        <v>185</v>
      </c>
      <c r="G5" s="89" t="s">
        <v>186</v>
      </c>
      <c r="H5" s="62" t="s">
        <v>187</v>
      </c>
      <c r="J5" s="41" t="s">
        <v>231</v>
      </c>
      <c r="K5" s="117" t="s">
        <v>227</v>
      </c>
      <c r="M5" s="90" t="s">
        <v>211</v>
      </c>
      <c r="N5" s="88" t="s">
        <v>202</v>
      </c>
      <c r="O5" s="91" t="s">
        <v>203</v>
      </c>
    </row>
    <row r="6" spans="3:15" ht="18" x14ac:dyDescent="0.35">
      <c r="C6" s="42" t="s">
        <v>188</v>
      </c>
      <c r="D6" s="65">
        <f>MEDIAN(CreditCardData[Age at Open])</f>
        <v>58.25277777777778</v>
      </c>
      <c r="F6" s="86">
        <v>0.99</v>
      </c>
      <c r="G6" s="94">
        <f>D5-2.66*D11</f>
        <v>51.940414412021873</v>
      </c>
      <c r="H6" s="72">
        <f>D5+2.66*D11</f>
        <v>61.730782169174752</v>
      </c>
      <c r="J6" s="42" t="s">
        <v>232</v>
      </c>
      <c r="K6" s="95" t="s">
        <v>228</v>
      </c>
      <c r="M6" s="41" t="s">
        <v>79</v>
      </c>
      <c r="N6" s="41">
        <f>COUNTIF(CreditCardData[Gender],M6)</f>
        <v>39</v>
      </c>
      <c r="O6" s="77">
        <f>N6/($N$6+$N$7)</f>
        <v>0.6</v>
      </c>
    </row>
    <row r="7" spans="3:15" x14ac:dyDescent="0.25">
      <c r="C7" s="42" t="s">
        <v>189</v>
      </c>
      <c r="D7" s="42">
        <f>_xlfn.MODE.SNGL(CreditCardData[Rounded Age])</f>
        <v>58</v>
      </c>
      <c r="F7" s="86">
        <v>0.95</v>
      </c>
      <c r="G7" s="95">
        <f>D5-2*D11</f>
        <v>53.155008908210014</v>
      </c>
      <c r="H7" s="74">
        <f>D5+2*D11</f>
        <v>60.516187672986611</v>
      </c>
      <c r="J7" s="42" t="s">
        <v>226</v>
      </c>
      <c r="K7" s="65">
        <f>(D5-63)/D11</f>
        <v>-3.3496818411195144</v>
      </c>
      <c r="M7" s="43" t="s">
        <v>78</v>
      </c>
      <c r="N7" s="43">
        <f>COUNTIF(CreditCardData[Gender],M7)</f>
        <v>26</v>
      </c>
      <c r="O7" s="70">
        <f>N7/($N$6+$N$7)</f>
        <v>0.4</v>
      </c>
    </row>
    <row r="8" spans="3:15" x14ac:dyDescent="0.25">
      <c r="C8" s="42" t="s">
        <v>190</v>
      </c>
      <c r="D8" s="65">
        <f>_xlfn.VAR.S(CreditCardData[Age at Open])</f>
        <v>220.13449577842903</v>
      </c>
      <c r="F8" s="87">
        <v>0.9</v>
      </c>
      <c r="G8" s="96">
        <f>D5-1.671*D11</f>
        <v>53.760465861612886</v>
      </c>
      <c r="H8" s="76">
        <f>D5+1.671*D11</f>
        <v>59.910730719583739</v>
      </c>
      <c r="J8" s="42" t="s">
        <v>230</v>
      </c>
      <c r="K8" s="42">
        <v>1.669</v>
      </c>
    </row>
    <row r="9" spans="3:15" x14ac:dyDescent="0.25">
      <c r="C9" s="42" t="s">
        <v>172</v>
      </c>
      <c r="D9" s="65">
        <f>_xlfn.STDEV.S(CreditCardData[Age at Open])</f>
        <v>14.836930133232718</v>
      </c>
      <c r="J9" s="43" t="s">
        <v>229</v>
      </c>
      <c r="K9" s="43">
        <v>0.99929999999999997</v>
      </c>
    </row>
    <row r="10" spans="3:15" x14ac:dyDescent="0.25">
      <c r="C10" s="66" t="s">
        <v>204</v>
      </c>
      <c r="D10" s="82">
        <f>D9/D5</f>
        <v>0.26104995072581172</v>
      </c>
      <c r="F10" s="125" t="s">
        <v>170</v>
      </c>
      <c r="G10" s="126"/>
      <c r="H10" s="127"/>
      <c r="M10" s="120" t="s">
        <v>216</v>
      </c>
      <c r="N10" s="122"/>
      <c r="O10" s="121"/>
    </row>
    <row r="11" spans="3:15" x14ac:dyDescent="0.25">
      <c r="C11" s="42" t="s">
        <v>173</v>
      </c>
      <c r="D11" s="65">
        <f>D9/SQRT(COUNT(CreditCardData[Age at Open]))</f>
        <v>1.8402946911941496</v>
      </c>
      <c r="F11" s="88" t="s">
        <v>201</v>
      </c>
      <c r="G11" s="88" t="s">
        <v>202</v>
      </c>
      <c r="H11" s="88" t="s">
        <v>203</v>
      </c>
      <c r="J11" s="123" t="s">
        <v>216</v>
      </c>
      <c r="K11" s="124"/>
      <c r="M11" s="89" t="s">
        <v>185</v>
      </c>
      <c r="N11" s="89" t="s">
        <v>186</v>
      </c>
      <c r="O11" s="62" t="s">
        <v>187</v>
      </c>
    </row>
    <row r="12" spans="3:15" x14ac:dyDescent="0.25">
      <c r="C12" s="66" t="s">
        <v>191</v>
      </c>
      <c r="D12" s="65">
        <f>MAX(CreditCardData[Age at Open])</f>
        <v>86.161111111111111</v>
      </c>
      <c r="F12" s="42" t="s">
        <v>195</v>
      </c>
      <c r="G12" s="42">
        <f>COUNTIFS(CreditCardData[Rounded Age],"&gt;=18",CreditCardData[Rounded Age],"&lt;=24")</f>
        <v>1</v>
      </c>
      <c r="H12" s="68">
        <f t="shared" ref="H12:H17" si="0">G12/SUM($G$12:$G$17)</f>
        <v>1.5384615384615385E-2</v>
      </c>
      <c r="J12" s="64" t="s">
        <v>171</v>
      </c>
      <c r="K12" s="92">
        <f>AVERAGE(CreditCardData[Balance of Deposits])</f>
        <v>43286.498923076921</v>
      </c>
      <c r="M12" s="86">
        <v>0.99</v>
      </c>
      <c r="N12" s="97">
        <f>K12-2.66*K18</f>
        <v>16567.391275795901</v>
      </c>
      <c r="O12" s="98">
        <f>K12+2.66*K18</f>
        <v>70005.606570357937</v>
      </c>
    </row>
    <row r="13" spans="3:15" x14ac:dyDescent="0.25">
      <c r="C13" s="66" t="s">
        <v>192</v>
      </c>
      <c r="D13" s="65">
        <f>MIN(CreditCardData[Age at Open])</f>
        <v>21.294444444444444</v>
      </c>
      <c r="F13" s="42" t="s">
        <v>196</v>
      </c>
      <c r="G13" s="42">
        <f>COUNTIFS(CreditCardData[Rounded Age],"&gt;=25",CreditCardData[Rounded Age],"&lt;=34")</f>
        <v>4</v>
      </c>
      <c r="H13" s="68">
        <f t="shared" si="0"/>
        <v>6.1538461538461542E-2</v>
      </c>
      <c r="J13" s="65" t="s">
        <v>188</v>
      </c>
      <c r="K13" s="93">
        <f>MEDIAN(CreditCardData[Balance of Deposits])</f>
        <v>11850.77</v>
      </c>
      <c r="M13" s="86">
        <v>0.95</v>
      </c>
      <c r="N13" s="99">
        <f>K12-2*K18</f>
        <v>23196.944301061118</v>
      </c>
      <c r="O13" s="100">
        <f>K12+2*K18</f>
        <v>63376.053545092727</v>
      </c>
    </row>
    <row r="14" spans="3:15" x14ac:dyDescent="0.25">
      <c r="C14" s="66" t="s">
        <v>193</v>
      </c>
      <c r="D14" s="65">
        <f>SKEW(CreditCardData[Age at Open])</f>
        <v>-0.12172105916592749</v>
      </c>
      <c r="F14" s="42" t="s">
        <v>197</v>
      </c>
      <c r="G14" s="42">
        <f>COUNTIFS(CreditCardData[Rounded Age],"&gt;=35",CreditCardData[Rounded Age],"&lt;=44")</f>
        <v>10</v>
      </c>
      <c r="H14" s="68">
        <f t="shared" si="0"/>
        <v>0.15384615384615385</v>
      </c>
      <c r="J14" s="42" t="s">
        <v>189</v>
      </c>
      <c r="K14" s="116" t="str">
        <f>IFERROR(MODE(CreditCardData[Balance of Deposits]),"N/A")</f>
        <v>N/A</v>
      </c>
      <c r="M14" s="87">
        <v>0.9</v>
      </c>
      <c r="N14" s="101">
        <f>K12-1.671*K18</f>
        <v>26501.676036382716</v>
      </c>
      <c r="O14" s="102">
        <f>K12+1.671*K18</f>
        <v>60071.321809771121</v>
      </c>
    </row>
    <row r="15" spans="3:15" x14ac:dyDescent="0.25">
      <c r="C15" s="66" t="s">
        <v>201</v>
      </c>
      <c r="D15" s="65">
        <f>MAX(CreditCardData[Age at Open])-MIN(CreditCardData[Age at Open])</f>
        <v>64.866666666666674</v>
      </c>
      <c r="F15" s="42" t="s">
        <v>198</v>
      </c>
      <c r="G15" s="42">
        <f>COUNTIFS(CreditCardData[Rounded Age],"&gt;=45",CreditCardData[Rounded Age],"&lt;=54")</f>
        <v>11</v>
      </c>
      <c r="H15" s="68">
        <f t="shared" si="0"/>
        <v>0.16923076923076924</v>
      </c>
      <c r="J15" s="65" t="s">
        <v>190</v>
      </c>
      <c r="K15" s="93">
        <f>_xlfn.VAR.S(CreditCardData[Balance of Deposits])</f>
        <v>6558340829.8030415</v>
      </c>
    </row>
    <row r="16" spans="3:15" x14ac:dyDescent="0.25">
      <c r="C16" s="66" t="s">
        <v>221</v>
      </c>
      <c r="D16" s="65">
        <f>_xlfn.QUARTILE.INC(CreditCardData[Age at Open],3)</f>
        <v>67.088888888888889</v>
      </c>
      <c r="F16" s="42" t="s">
        <v>199</v>
      </c>
      <c r="G16" s="42">
        <f>COUNTIFS(CreditCardData[Rounded Age],"&gt;=55",CreditCardData[Rounded Age],"&lt;=64")</f>
        <v>19</v>
      </c>
      <c r="H16" s="68">
        <f t="shared" si="0"/>
        <v>0.29230769230769232</v>
      </c>
      <c r="J16" s="65" t="s">
        <v>172</v>
      </c>
      <c r="K16" s="93">
        <f>_xlfn.STDEV.S(CreditCardData[Balance of Deposits])</f>
        <v>80983.583705606914</v>
      </c>
      <c r="M16" s="112" t="s">
        <v>219</v>
      </c>
    </row>
    <row r="17" spans="3:13" x14ac:dyDescent="0.25">
      <c r="C17" s="66" t="s">
        <v>222</v>
      </c>
      <c r="D17" s="110">
        <f>_xlfn.QUARTILE.INC(CreditCardData[Age at Open],1)</f>
        <v>46.68888888888889</v>
      </c>
      <c r="F17" s="43" t="s">
        <v>200</v>
      </c>
      <c r="G17" s="43">
        <f>COUNTIFS(CreditCardData[Rounded Age],"&gt;=65")</f>
        <v>20</v>
      </c>
      <c r="H17" s="69">
        <f t="shared" si="0"/>
        <v>0.30769230769230771</v>
      </c>
      <c r="J17" s="65" t="s">
        <v>204</v>
      </c>
      <c r="K17" s="42">
        <f>K16/K12</f>
        <v>1.8708739611748295</v>
      </c>
      <c r="M17" s="115">
        <f>AVERAGE(CreditCardData['# of Deposit Accounts])</f>
        <v>2.1076923076923078</v>
      </c>
    </row>
    <row r="18" spans="3:13" x14ac:dyDescent="0.25">
      <c r="C18" s="66" t="s">
        <v>223</v>
      </c>
      <c r="D18" s="110">
        <f>D16-D17</f>
        <v>20.399999999999999</v>
      </c>
      <c r="J18" s="65" t="s">
        <v>173</v>
      </c>
      <c r="K18" s="93">
        <f>K16/SQRT(COUNT(CreditCardData[Balance of Deposits]))</f>
        <v>10044.777311007902</v>
      </c>
    </row>
    <row r="19" spans="3:13" x14ac:dyDescent="0.25">
      <c r="C19" s="66" t="s">
        <v>224</v>
      </c>
      <c r="D19" s="110">
        <f>D16+(1.5*D18)</f>
        <v>97.688888888888883</v>
      </c>
      <c r="F19" s="120" t="s">
        <v>217</v>
      </c>
      <c r="G19" s="121"/>
      <c r="H19" s="118"/>
      <c r="J19" s="65" t="s">
        <v>191</v>
      </c>
      <c r="K19" s="93">
        <f>MAX(CreditCardData[Balance of Deposits])</f>
        <v>428136.55</v>
      </c>
      <c r="M19" s="105" t="s">
        <v>220</v>
      </c>
    </row>
    <row r="20" spans="3:13" x14ac:dyDescent="0.25">
      <c r="C20" s="67" t="s">
        <v>225</v>
      </c>
      <c r="D20" s="81">
        <f>D17-(1.5*D18)</f>
        <v>16.088888888888892</v>
      </c>
      <c r="F20" s="104" t="s">
        <v>218</v>
      </c>
      <c r="G20" s="103">
        <f>CORREL(CreditCardData[Rounded Age],CreditCardData[Rounded Yrs with Bank])</f>
        <v>0.4739195927350412</v>
      </c>
      <c r="J20" s="65" t="s">
        <v>192</v>
      </c>
      <c r="K20" s="93">
        <f>MIN(CreditCardData[Balance of Deposits])</f>
        <v>-65.05</v>
      </c>
      <c r="M20" s="114">
        <f>AVERAGE(CreditCardData['# Days until Act])</f>
        <v>18.576271186440678</v>
      </c>
    </row>
    <row r="21" spans="3:13" x14ac:dyDescent="0.25">
      <c r="J21" s="65" t="s">
        <v>193</v>
      </c>
      <c r="K21" s="65">
        <f>SKEW(CreditCardData[Balance of Deposits])</f>
        <v>2.9220267058565264</v>
      </c>
    </row>
    <row r="22" spans="3:13" x14ac:dyDescent="0.25">
      <c r="C22" s="120" t="s">
        <v>205</v>
      </c>
      <c r="D22" s="121"/>
      <c r="F22" s="120" t="s">
        <v>205</v>
      </c>
      <c r="G22" s="122"/>
      <c r="H22" s="121"/>
      <c r="J22" s="66" t="s">
        <v>201</v>
      </c>
      <c r="K22" s="99">
        <f>MAX(CreditCardData[Balance of Deposits])-MIN(CreditCardData[Balance of Deposits])</f>
        <v>428201.6</v>
      </c>
    </row>
    <row r="23" spans="3:13" x14ac:dyDescent="0.25">
      <c r="C23" s="41" t="s">
        <v>171</v>
      </c>
      <c r="D23" s="64">
        <f>AVERAGE(CreditCardData[Yrs with Bank at Open])</f>
        <v>16.592521367521368</v>
      </c>
      <c r="F23" s="112" t="s">
        <v>185</v>
      </c>
      <c r="G23" s="112" t="s">
        <v>186</v>
      </c>
      <c r="H23" s="111" t="s">
        <v>187</v>
      </c>
      <c r="J23" s="66" t="s">
        <v>221</v>
      </c>
      <c r="K23" s="93">
        <f>_xlfn.QUARTILE.INC(CreditCardData[Balance of Deposits],3)</f>
        <v>40339.050000000003</v>
      </c>
    </row>
    <row r="24" spans="3:13" x14ac:dyDescent="0.25">
      <c r="C24" s="42" t="s">
        <v>188</v>
      </c>
      <c r="D24" s="65">
        <f>MEDIAN(CreditCardData[Yrs with Bank at Open])</f>
        <v>13.880555555555556</v>
      </c>
      <c r="F24" s="85">
        <v>0.99</v>
      </c>
      <c r="G24" s="71">
        <f>D23-2.66*D29</f>
        <v>12.227947153293304</v>
      </c>
      <c r="H24" s="94">
        <f>D23+2.66*D29</f>
        <v>20.957095581749432</v>
      </c>
      <c r="J24" s="66" t="s">
        <v>222</v>
      </c>
      <c r="K24" s="93">
        <f>_xlfn.QUARTILE.INC(CreditCardData[Balance of Deposits],1)</f>
        <v>2339.67</v>
      </c>
    </row>
    <row r="25" spans="3:13" x14ac:dyDescent="0.25">
      <c r="C25" s="42" t="s">
        <v>189</v>
      </c>
      <c r="D25" s="65">
        <f>_xlfn.MODE.SNGL(CreditCardData[Rounded Yrs with Bank])</f>
        <v>0</v>
      </c>
      <c r="F25" s="86">
        <v>0.95</v>
      </c>
      <c r="G25" s="73">
        <f>D23-2*D29</f>
        <v>13.310886619981471</v>
      </c>
      <c r="H25" s="95">
        <f>D23+2*D29</f>
        <v>19.874156115061265</v>
      </c>
      <c r="J25" s="66" t="s">
        <v>223</v>
      </c>
      <c r="K25" s="99">
        <f>K23-K24</f>
        <v>37999.380000000005</v>
      </c>
    </row>
    <row r="26" spans="3:13" x14ac:dyDescent="0.25">
      <c r="C26" s="42" t="s">
        <v>190</v>
      </c>
      <c r="D26" s="65">
        <f>_xlfn.VAR.S(CreditCardData[Yrs with Bank at Open])</f>
        <v>174.9983075142452</v>
      </c>
      <c r="F26" s="87">
        <v>0.9</v>
      </c>
      <c r="G26" s="75">
        <f>D23-1.671*D29</f>
        <v>13.850715535951784</v>
      </c>
      <c r="H26" s="96">
        <f>D23+1.671*D29</f>
        <v>19.33432719909095</v>
      </c>
      <c r="J26" s="66" t="s">
        <v>224</v>
      </c>
      <c r="K26" s="99">
        <f>K23+(1.5*K25)</f>
        <v>97338.12000000001</v>
      </c>
    </row>
    <row r="27" spans="3:13" x14ac:dyDescent="0.25">
      <c r="C27" s="42" t="s">
        <v>172</v>
      </c>
      <c r="D27" s="65">
        <f>_xlfn.STDEV.S(CreditCardData[Yrs with Bank at Open])</f>
        <v>13.228692585219644</v>
      </c>
      <c r="J27" s="67" t="s">
        <v>225</v>
      </c>
      <c r="K27" s="101">
        <f>K24-(1.5*K25)</f>
        <v>-54659.400000000009</v>
      </c>
    </row>
    <row r="28" spans="3:13" x14ac:dyDescent="0.25">
      <c r="C28" s="66" t="s">
        <v>204</v>
      </c>
      <c r="D28" s="82">
        <f>D27/D23</f>
        <v>0.79726837725300936</v>
      </c>
      <c r="F28" s="120" t="s">
        <v>205</v>
      </c>
      <c r="G28" s="122"/>
      <c r="H28" s="121"/>
      <c r="J28" s="63"/>
    </row>
    <row r="29" spans="3:13" x14ac:dyDescent="0.25">
      <c r="C29" s="42" t="s">
        <v>173</v>
      </c>
      <c r="D29" s="65">
        <f>D27/SQRT(COUNT(CreditCardData[Yrs with Bank at Open]))</f>
        <v>1.6408173737699485</v>
      </c>
      <c r="F29" s="88" t="s">
        <v>201</v>
      </c>
      <c r="G29" s="88" t="s">
        <v>202</v>
      </c>
      <c r="H29" s="88" t="s">
        <v>203</v>
      </c>
      <c r="J29" s="120" t="s">
        <v>205</v>
      </c>
      <c r="K29" s="121"/>
    </row>
    <row r="30" spans="3:13" ht="18" x14ac:dyDescent="0.35">
      <c r="C30" s="66" t="s">
        <v>191</v>
      </c>
      <c r="D30" s="65">
        <f>MAX(CreditCardData[Yrs with Bank at Open])</f>
        <v>52.491666666666667</v>
      </c>
      <c r="F30" s="83" t="s">
        <v>207</v>
      </c>
      <c r="G30" s="41">
        <f>COUNTIF(CreditCardData[Rounded Yrs with Bank],"&lt;1")</f>
        <v>7</v>
      </c>
      <c r="H30" s="68">
        <f t="shared" ref="H30:H37" si="1">G30/SUM($G$30:$G$37)</f>
        <v>0.1076923076923077</v>
      </c>
      <c r="J30" s="41" t="s">
        <v>231</v>
      </c>
      <c r="K30" s="119" t="s">
        <v>233</v>
      </c>
    </row>
    <row r="31" spans="3:13" ht="18" x14ac:dyDescent="0.35">
      <c r="C31" s="66" t="s">
        <v>192</v>
      </c>
      <c r="D31" s="42">
        <f>MIN(CreditCardData[Yrs with Bank at Open])</f>
        <v>0</v>
      </c>
      <c r="F31" s="83" t="s">
        <v>208</v>
      </c>
      <c r="G31" s="42">
        <f>COUNTIFS(CreditCardData[Rounded Yrs with Bank],"&gt;=1",CreditCardData[Rounded Yrs with Bank],"&lt;=5")</f>
        <v>9</v>
      </c>
      <c r="H31" s="68">
        <f t="shared" si="1"/>
        <v>0.13846153846153847</v>
      </c>
      <c r="J31" s="42" t="s">
        <v>232</v>
      </c>
      <c r="K31" s="95" t="s">
        <v>234</v>
      </c>
    </row>
    <row r="32" spans="3:13" x14ac:dyDescent="0.25">
      <c r="C32" s="66" t="s">
        <v>193</v>
      </c>
      <c r="D32" s="65">
        <f>SKEW(CreditCardData[Yrs with Bank at Open])</f>
        <v>0.66217194158039239</v>
      </c>
      <c r="F32" s="83" t="s">
        <v>209</v>
      </c>
      <c r="G32" s="42">
        <f>COUNTIFS(CreditCardData[Rounded Yrs with Bank],"&gt;=6",CreditCardData[Rounded Yrs with Bank],"&lt;=10")</f>
        <v>11</v>
      </c>
      <c r="H32" s="68">
        <f t="shared" si="1"/>
        <v>0.16923076923076924</v>
      </c>
      <c r="J32" s="42" t="s">
        <v>226</v>
      </c>
      <c r="K32" s="65">
        <f>(D23-5)/D29</f>
        <v>7.0650893590225365</v>
      </c>
    </row>
    <row r="33" spans="3:11" x14ac:dyDescent="0.25">
      <c r="C33" s="66" t="s">
        <v>201</v>
      </c>
      <c r="D33" s="113">
        <f>MAX(CreditCardData[Yrs with Bank at Open])-MIN(CreditCardData[Yrs with Bank at Open])</f>
        <v>52.491666666666667</v>
      </c>
      <c r="F33" s="83" t="s">
        <v>215</v>
      </c>
      <c r="G33" s="42">
        <f>COUNTIFS(CreditCardData[Rounded Yrs with Bank],"&gt;=11",CreditCardData[Rounded Yrs with Bank],"&lt;=20")</f>
        <v>16</v>
      </c>
      <c r="H33" s="68">
        <f t="shared" si="1"/>
        <v>0.24615384615384617</v>
      </c>
      <c r="J33" s="42" t="s">
        <v>230</v>
      </c>
      <c r="K33" s="42">
        <v>1.669</v>
      </c>
    </row>
    <row r="34" spans="3:11" x14ac:dyDescent="0.25">
      <c r="C34" s="66" t="s">
        <v>221</v>
      </c>
      <c r="D34" s="65">
        <f>_xlfn.QUARTILE.INC(CreditCardData[Yrs with Bank at Open],3)</f>
        <v>27.755555555555556</v>
      </c>
      <c r="F34" s="83" t="s">
        <v>212</v>
      </c>
      <c r="G34" s="42">
        <f>COUNTIFS(CreditCardData[Rounded Yrs with Bank],"&gt;=21",CreditCardData[Rounded Yrs with Bank],"&lt;=30")</f>
        <v>11</v>
      </c>
      <c r="H34" s="68">
        <f t="shared" si="1"/>
        <v>0.16923076923076924</v>
      </c>
      <c r="J34" s="43" t="s">
        <v>229</v>
      </c>
      <c r="K34" s="43">
        <v>1.0000000000000001E-5</v>
      </c>
    </row>
    <row r="35" spans="3:11" x14ac:dyDescent="0.25">
      <c r="C35" s="66" t="s">
        <v>222</v>
      </c>
      <c r="D35" s="65">
        <f>_xlfn.QUARTILE.INC(CreditCardData[Yrs with Bank at Open],1)</f>
        <v>6.0138888888888893</v>
      </c>
      <c r="F35" s="83" t="s">
        <v>213</v>
      </c>
      <c r="G35" s="42">
        <f>COUNTIFS(CreditCardData[Rounded Yrs with Bank],"&gt;=31",CreditCardData[Rounded Yrs with Bank],"&lt;=40")</f>
        <v>8</v>
      </c>
      <c r="H35" s="68">
        <f t="shared" si="1"/>
        <v>0.12307692307692308</v>
      </c>
      <c r="J35" s="63"/>
    </row>
    <row r="36" spans="3:11" x14ac:dyDescent="0.25">
      <c r="C36" s="66" t="s">
        <v>223</v>
      </c>
      <c r="D36" s="65">
        <f>D34-D35</f>
        <v>21.741666666666667</v>
      </c>
      <c r="F36" s="83" t="s">
        <v>214</v>
      </c>
      <c r="G36" s="42">
        <f>COUNTIFS(CreditCardData[Rounded Yrs with Bank],"&gt;=41",CreditCardData[Rounded Yrs with Bank],"&lt;=50")</f>
        <v>2</v>
      </c>
      <c r="H36" s="68">
        <f t="shared" si="1"/>
        <v>3.0769230769230771E-2</v>
      </c>
      <c r="J36" s="63"/>
    </row>
    <row r="37" spans="3:11" x14ac:dyDescent="0.25">
      <c r="C37" s="66" t="s">
        <v>224</v>
      </c>
      <c r="D37" s="65">
        <f>D34+(1.5*D36)</f>
        <v>60.368055555555557</v>
      </c>
      <c r="F37" s="84" t="s">
        <v>210</v>
      </c>
      <c r="G37" s="43">
        <f>COUNTIF(CreditCardData[Rounded Yrs with Bank],"&gt;50")</f>
        <v>1</v>
      </c>
      <c r="H37" s="69">
        <f t="shared" si="1"/>
        <v>1.5384615384615385E-2</v>
      </c>
      <c r="J37" s="63"/>
    </row>
    <row r="38" spans="3:11" x14ac:dyDescent="0.25">
      <c r="C38" s="67" t="s">
        <v>225</v>
      </c>
      <c r="D38" s="81">
        <f>D35-(1.5*D36)</f>
        <v>-26.598611111111108</v>
      </c>
      <c r="J38" s="63"/>
    </row>
    <row r="39" spans="3:11" x14ac:dyDescent="0.25">
      <c r="J39" s="63"/>
    </row>
    <row r="40" spans="3:11" x14ac:dyDescent="0.25">
      <c r="J40" s="63"/>
    </row>
    <row r="41" spans="3:11" x14ac:dyDescent="0.25">
      <c r="H41" s="118"/>
      <c r="J41" s="63"/>
    </row>
    <row r="42" spans="3:11" x14ac:dyDescent="0.25">
      <c r="J42" s="63"/>
    </row>
    <row r="43" spans="3:11" x14ac:dyDescent="0.25">
      <c r="J43" s="63"/>
    </row>
    <row r="44" spans="3:11" x14ac:dyDescent="0.25">
      <c r="J44" s="63"/>
    </row>
    <row r="45" spans="3:11" x14ac:dyDescent="0.25">
      <c r="J45" s="63"/>
    </row>
    <row r="46" spans="3:11" x14ac:dyDescent="0.25">
      <c r="J46" s="63"/>
    </row>
    <row r="47" spans="3:11" x14ac:dyDescent="0.25">
      <c r="J47" s="63"/>
    </row>
    <row r="48" spans="3:11" x14ac:dyDescent="0.25">
      <c r="J48" s="63"/>
    </row>
    <row r="49" spans="10:10" x14ac:dyDescent="0.25">
      <c r="J49" s="63"/>
    </row>
    <row r="50" spans="10:10" x14ac:dyDescent="0.25">
      <c r="J50" s="63"/>
    </row>
    <row r="51" spans="10:10" x14ac:dyDescent="0.25">
      <c r="J51" s="63"/>
    </row>
    <row r="52" spans="10:10" x14ac:dyDescent="0.25">
      <c r="J52" s="63"/>
    </row>
    <row r="53" spans="10:10" x14ac:dyDescent="0.25">
      <c r="J53" s="63"/>
    </row>
    <row r="54" spans="10:10" x14ac:dyDescent="0.25">
      <c r="J54" s="63"/>
    </row>
    <row r="55" spans="10:10" x14ac:dyDescent="0.25">
      <c r="J55" s="63"/>
    </row>
    <row r="56" spans="10:10" x14ac:dyDescent="0.25">
      <c r="J56" s="63"/>
    </row>
    <row r="57" spans="10:10" x14ac:dyDescent="0.25">
      <c r="J57" s="63"/>
    </row>
    <row r="58" spans="10:10" x14ac:dyDescent="0.25">
      <c r="J58" s="63"/>
    </row>
    <row r="59" spans="10:10" x14ac:dyDescent="0.25">
      <c r="J59" s="63"/>
    </row>
    <row r="60" spans="10:10" x14ac:dyDescent="0.25">
      <c r="J60" s="63"/>
    </row>
    <row r="61" spans="10:10" x14ac:dyDescent="0.25">
      <c r="J61" s="63"/>
    </row>
    <row r="62" spans="10:10" x14ac:dyDescent="0.25">
      <c r="J62" s="63"/>
    </row>
    <row r="63" spans="10:10" x14ac:dyDescent="0.25">
      <c r="J63" s="63"/>
    </row>
    <row r="64" spans="10:10" x14ac:dyDescent="0.25">
      <c r="J64" s="63"/>
    </row>
    <row r="65" spans="10:10" x14ac:dyDescent="0.25">
      <c r="J65" s="63"/>
    </row>
    <row r="66" spans="10:10" x14ac:dyDescent="0.25">
      <c r="J66" s="63"/>
    </row>
  </sheetData>
  <mergeCells count="12">
    <mergeCell ref="C4:D4"/>
    <mergeCell ref="M4:O4"/>
    <mergeCell ref="J29:K29"/>
    <mergeCell ref="F19:G19"/>
    <mergeCell ref="C22:D22"/>
    <mergeCell ref="F22:H22"/>
    <mergeCell ref="F28:H28"/>
    <mergeCell ref="J11:K11"/>
    <mergeCell ref="F10:H10"/>
    <mergeCell ref="M10:O10"/>
    <mergeCell ref="J4:K4"/>
    <mergeCell ref="F4:H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EDE6-914B-4B6E-AE79-2E43077448C3}">
  <dimension ref="B1:G45"/>
  <sheetViews>
    <sheetView zoomScaleNormal="100" workbookViewId="0">
      <selection activeCell="D40" sqref="D40"/>
    </sheetView>
  </sheetViews>
  <sheetFormatPr defaultColWidth="8.85546875" defaultRowHeight="12" x14ac:dyDescent="0.2"/>
  <cols>
    <col min="1" max="1" width="2" style="45" customWidth="1"/>
    <col min="2" max="2" width="6" style="45" customWidth="1"/>
    <col min="3" max="4" width="5.28515625" style="45" bestFit="1" customWidth="1"/>
    <col min="5" max="7" width="6.140625" style="45" bestFit="1" customWidth="1"/>
    <col min="8" max="16384" width="8.85546875" style="45"/>
  </cols>
  <sheetData>
    <row r="1" spans="2:7" ht="15.75" x14ac:dyDescent="0.25">
      <c r="B1" s="44" t="s">
        <v>174</v>
      </c>
    </row>
    <row r="2" spans="2:7" x14ac:dyDescent="0.2">
      <c r="B2" s="46" t="s">
        <v>175</v>
      </c>
    </row>
    <row r="3" spans="2:7" x14ac:dyDescent="0.2">
      <c r="B3" s="46"/>
    </row>
    <row r="4" spans="2:7" x14ac:dyDescent="0.2">
      <c r="B4" s="46" t="s">
        <v>176</v>
      </c>
    </row>
    <row r="5" spans="2:7" x14ac:dyDescent="0.2">
      <c r="B5" s="46"/>
    </row>
    <row r="6" spans="2:7" ht="12.75" thickBot="1" x14ac:dyDescent="0.25">
      <c r="B6" s="47" t="s">
        <v>177</v>
      </c>
      <c r="C6" s="48">
        <v>0.1</v>
      </c>
      <c r="D6" s="48">
        <v>0.05</v>
      </c>
      <c r="E6" s="48">
        <v>2.5000000000000001E-2</v>
      </c>
      <c r="F6" s="48">
        <v>0.01</v>
      </c>
      <c r="G6" s="48">
        <v>5.0000000000000001E-3</v>
      </c>
    </row>
    <row r="7" spans="2:7" x14ac:dyDescent="0.2">
      <c r="B7" s="49">
        <v>1</v>
      </c>
      <c r="C7" s="50">
        <v>3.0779999999999998</v>
      </c>
      <c r="D7" s="50">
        <v>6.3140000000000001</v>
      </c>
      <c r="E7" s="50">
        <v>12.706</v>
      </c>
      <c r="F7" s="50">
        <v>31.821000000000002</v>
      </c>
      <c r="G7" s="50">
        <v>63.656999999999996</v>
      </c>
    </row>
    <row r="8" spans="2:7" x14ac:dyDescent="0.2">
      <c r="B8" s="49">
        <v>2</v>
      </c>
      <c r="C8" s="50">
        <v>1.8859999999999999</v>
      </c>
      <c r="D8" s="50">
        <v>2.92</v>
      </c>
      <c r="E8" s="50">
        <v>4.3029999999999999</v>
      </c>
      <c r="F8" s="50">
        <v>6.9649999999999999</v>
      </c>
      <c r="G8" s="50">
        <v>9.9250000000000007</v>
      </c>
    </row>
    <row r="9" spans="2:7" x14ac:dyDescent="0.2">
      <c r="B9" s="49">
        <v>3</v>
      </c>
      <c r="C9" s="50">
        <v>1.6379999999999999</v>
      </c>
      <c r="D9" s="50">
        <v>2.3530000000000002</v>
      </c>
      <c r="E9" s="50">
        <v>3.1819999999999999</v>
      </c>
      <c r="F9" s="50">
        <v>4.5410000000000004</v>
      </c>
      <c r="G9" s="50">
        <v>5.8410000000000002</v>
      </c>
    </row>
    <row r="10" spans="2:7" x14ac:dyDescent="0.2">
      <c r="B10" s="49">
        <v>4</v>
      </c>
      <c r="C10" s="50">
        <v>1.5329999999999999</v>
      </c>
      <c r="D10" s="50">
        <v>2.1320000000000001</v>
      </c>
      <c r="E10" s="50">
        <v>2.7759999999999998</v>
      </c>
      <c r="F10" s="50">
        <v>3.7469999999999999</v>
      </c>
      <c r="G10" s="50">
        <v>4.6040000000000001</v>
      </c>
    </row>
    <row r="11" spans="2:7" x14ac:dyDescent="0.2">
      <c r="B11" s="49">
        <v>5</v>
      </c>
      <c r="C11" s="50">
        <v>1.476</v>
      </c>
      <c r="D11" s="50">
        <v>2.0150000000000001</v>
      </c>
      <c r="E11" s="50">
        <v>2.5710000000000002</v>
      </c>
      <c r="F11" s="50">
        <v>3.3650000000000002</v>
      </c>
      <c r="G11" s="50">
        <v>4.032</v>
      </c>
    </row>
    <row r="12" spans="2:7" x14ac:dyDescent="0.2">
      <c r="B12" s="49">
        <v>6</v>
      </c>
      <c r="C12" s="50">
        <v>1.44</v>
      </c>
      <c r="D12" s="50">
        <v>1.9430000000000001</v>
      </c>
      <c r="E12" s="50">
        <v>2.4470000000000001</v>
      </c>
      <c r="F12" s="50">
        <v>3.1429999999999998</v>
      </c>
      <c r="G12" s="50">
        <v>3.7069999999999999</v>
      </c>
    </row>
    <row r="13" spans="2:7" x14ac:dyDescent="0.2">
      <c r="B13" s="49">
        <v>7</v>
      </c>
      <c r="C13" s="50">
        <v>1.415</v>
      </c>
      <c r="D13" s="50">
        <v>1.895</v>
      </c>
      <c r="E13" s="50">
        <v>2.3650000000000002</v>
      </c>
      <c r="F13" s="50">
        <v>2.9980000000000002</v>
      </c>
      <c r="G13" s="50">
        <v>3.4990000000000001</v>
      </c>
    </row>
    <row r="14" spans="2:7" x14ac:dyDescent="0.2">
      <c r="B14" s="49">
        <v>8</v>
      </c>
      <c r="C14" s="50">
        <v>1.397</v>
      </c>
      <c r="D14" s="50">
        <v>1.86</v>
      </c>
      <c r="E14" s="50">
        <v>2.306</v>
      </c>
      <c r="F14" s="50">
        <v>2.8959999999999999</v>
      </c>
      <c r="G14" s="50">
        <v>3.355</v>
      </c>
    </row>
    <row r="15" spans="2:7" x14ac:dyDescent="0.2">
      <c r="B15" s="49">
        <v>9</v>
      </c>
      <c r="C15" s="50">
        <v>1.383</v>
      </c>
      <c r="D15" s="50">
        <v>1.833</v>
      </c>
      <c r="E15" s="50">
        <v>2.262</v>
      </c>
      <c r="F15" s="50">
        <v>2.8210000000000002</v>
      </c>
      <c r="G15" s="50">
        <v>3.25</v>
      </c>
    </row>
    <row r="16" spans="2:7" x14ac:dyDescent="0.2">
      <c r="B16" s="49">
        <v>10</v>
      </c>
      <c r="C16" s="50">
        <v>1.3720000000000001</v>
      </c>
      <c r="D16" s="50">
        <v>1.8120000000000001</v>
      </c>
      <c r="E16" s="50">
        <v>2.2280000000000002</v>
      </c>
      <c r="F16" s="50">
        <v>2.7639999999999998</v>
      </c>
      <c r="G16" s="50">
        <v>3.169</v>
      </c>
    </row>
    <row r="17" spans="2:7" x14ac:dyDescent="0.2">
      <c r="B17" s="49">
        <v>11</v>
      </c>
      <c r="C17" s="50">
        <v>1.363</v>
      </c>
      <c r="D17" s="50">
        <v>1.796</v>
      </c>
      <c r="E17" s="50">
        <v>2.2010000000000001</v>
      </c>
      <c r="F17" s="50">
        <v>2.718</v>
      </c>
      <c r="G17" s="50">
        <v>3.1059999999999999</v>
      </c>
    </row>
    <row r="18" spans="2:7" x14ac:dyDescent="0.2">
      <c r="B18" s="49">
        <v>12</v>
      </c>
      <c r="C18" s="50">
        <v>1.3560000000000001</v>
      </c>
      <c r="D18" s="50">
        <v>1.782</v>
      </c>
      <c r="E18" s="50">
        <v>2.1789999999999998</v>
      </c>
      <c r="F18" s="50">
        <v>2.681</v>
      </c>
      <c r="G18" s="50">
        <v>3.0550000000000002</v>
      </c>
    </row>
    <row r="19" spans="2:7" x14ac:dyDescent="0.2">
      <c r="B19" s="49">
        <v>13</v>
      </c>
      <c r="C19" s="50">
        <v>1.35</v>
      </c>
      <c r="D19" s="50">
        <v>1.7709999999999999</v>
      </c>
      <c r="E19" s="50">
        <v>2.16</v>
      </c>
      <c r="F19" s="50">
        <v>2.65</v>
      </c>
      <c r="G19" s="50">
        <v>3.012</v>
      </c>
    </row>
    <row r="20" spans="2:7" x14ac:dyDescent="0.2">
      <c r="B20" s="49">
        <v>14</v>
      </c>
      <c r="C20" s="50">
        <v>1.345</v>
      </c>
      <c r="D20" s="50">
        <v>1.7609999999999999</v>
      </c>
      <c r="E20" s="50">
        <v>2.145</v>
      </c>
      <c r="F20" s="50">
        <v>2.6240000000000001</v>
      </c>
      <c r="G20" s="50">
        <v>2.9769999999999999</v>
      </c>
    </row>
    <row r="21" spans="2:7" x14ac:dyDescent="0.2">
      <c r="B21" s="49">
        <v>15</v>
      </c>
      <c r="C21" s="50">
        <v>1.341</v>
      </c>
      <c r="D21" s="50">
        <v>1.7529999999999999</v>
      </c>
      <c r="E21" s="50">
        <v>2.1309999999999998</v>
      </c>
      <c r="F21" s="50">
        <v>2.6019999999999999</v>
      </c>
      <c r="G21" s="50">
        <v>2.9470000000000001</v>
      </c>
    </row>
    <row r="22" spans="2:7" x14ac:dyDescent="0.2">
      <c r="B22" s="49">
        <v>16</v>
      </c>
      <c r="C22" s="50">
        <v>1.337</v>
      </c>
      <c r="D22" s="50">
        <v>1.746</v>
      </c>
      <c r="E22" s="50">
        <v>2.12</v>
      </c>
      <c r="F22" s="50">
        <v>2.5830000000000002</v>
      </c>
      <c r="G22" s="50">
        <v>2.9209999999999998</v>
      </c>
    </row>
    <row r="23" spans="2:7" x14ac:dyDescent="0.2">
      <c r="B23" s="49">
        <v>17</v>
      </c>
      <c r="C23" s="50">
        <v>1.333</v>
      </c>
      <c r="D23" s="50">
        <v>1.74</v>
      </c>
      <c r="E23" s="50">
        <v>2.11</v>
      </c>
      <c r="F23" s="50">
        <v>2.5670000000000002</v>
      </c>
      <c r="G23" s="50">
        <v>2.8980000000000001</v>
      </c>
    </row>
    <row r="24" spans="2:7" x14ac:dyDescent="0.2">
      <c r="B24" s="49">
        <v>18</v>
      </c>
      <c r="C24" s="50">
        <v>1.33</v>
      </c>
      <c r="D24" s="50">
        <v>1.734</v>
      </c>
      <c r="E24" s="50">
        <v>2.101</v>
      </c>
      <c r="F24" s="50">
        <v>2.552</v>
      </c>
      <c r="G24" s="50">
        <v>2.8780000000000001</v>
      </c>
    </row>
    <row r="25" spans="2:7" x14ac:dyDescent="0.2">
      <c r="B25" s="49">
        <v>19</v>
      </c>
      <c r="C25" s="50">
        <v>1.3280000000000001</v>
      </c>
      <c r="D25" s="50">
        <v>1.7290000000000001</v>
      </c>
      <c r="E25" s="50">
        <v>2.093</v>
      </c>
      <c r="F25" s="50">
        <v>2.5390000000000001</v>
      </c>
      <c r="G25" s="50">
        <v>2.8610000000000002</v>
      </c>
    </row>
    <row r="26" spans="2:7" x14ac:dyDescent="0.2">
      <c r="B26" s="49">
        <v>20</v>
      </c>
      <c r="C26" s="50">
        <v>1.325</v>
      </c>
      <c r="D26" s="50">
        <v>1.7250000000000001</v>
      </c>
      <c r="E26" s="50">
        <v>2.0859999999999999</v>
      </c>
      <c r="F26" s="50">
        <v>2.528</v>
      </c>
      <c r="G26" s="50">
        <v>2.8450000000000002</v>
      </c>
    </row>
    <row r="27" spans="2:7" x14ac:dyDescent="0.2">
      <c r="B27" s="49">
        <v>21</v>
      </c>
      <c r="C27" s="50">
        <v>1.323</v>
      </c>
      <c r="D27" s="50">
        <v>1.7210000000000001</v>
      </c>
      <c r="E27" s="50">
        <v>2.08</v>
      </c>
      <c r="F27" s="50">
        <v>2.5179999999999998</v>
      </c>
      <c r="G27" s="50">
        <v>2.831</v>
      </c>
    </row>
    <row r="28" spans="2:7" x14ac:dyDescent="0.2">
      <c r="B28" s="49">
        <v>22</v>
      </c>
      <c r="C28" s="50">
        <v>1.321</v>
      </c>
      <c r="D28" s="50">
        <v>1.7170000000000001</v>
      </c>
      <c r="E28" s="50">
        <v>2.0739999999999998</v>
      </c>
      <c r="F28" s="50">
        <v>2.508</v>
      </c>
      <c r="G28" s="50">
        <v>2.819</v>
      </c>
    </row>
    <row r="29" spans="2:7" x14ac:dyDescent="0.2">
      <c r="B29" s="49">
        <v>23</v>
      </c>
      <c r="C29" s="50">
        <v>1.319</v>
      </c>
      <c r="D29" s="50">
        <v>1.714</v>
      </c>
      <c r="E29" s="50">
        <v>2.069</v>
      </c>
      <c r="F29" s="50">
        <v>2.5</v>
      </c>
      <c r="G29" s="50">
        <v>2.8069999999999999</v>
      </c>
    </row>
    <row r="30" spans="2:7" x14ac:dyDescent="0.2">
      <c r="B30" s="49">
        <v>24</v>
      </c>
      <c r="C30" s="50">
        <v>1.3180000000000001</v>
      </c>
      <c r="D30" s="50">
        <v>1.7110000000000001</v>
      </c>
      <c r="E30" s="50">
        <v>2.0640000000000001</v>
      </c>
      <c r="F30" s="50">
        <v>2.492</v>
      </c>
      <c r="G30" s="50">
        <v>2.7970000000000002</v>
      </c>
    </row>
    <row r="31" spans="2:7" x14ac:dyDescent="0.2">
      <c r="B31" s="49">
        <v>25</v>
      </c>
      <c r="C31" s="50">
        <v>1.3160000000000001</v>
      </c>
      <c r="D31" s="50">
        <v>1.708</v>
      </c>
      <c r="E31" s="50">
        <v>2.06</v>
      </c>
      <c r="F31" s="50">
        <v>2.4849999999999999</v>
      </c>
      <c r="G31" s="50">
        <v>2.7869999999999999</v>
      </c>
    </row>
    <row r="32" spans="2:7" x14ac:dyDescent="0.2">
      <c r="B32" s="49">
        <v>26</v>
      </c>
      <c r="C32" s="50">
        <v>1.3149999999999999</v>
      </c>
      <c r="D32" s="50">
        <v>1.706</v>
      </c>
      <c r="E32" s="50">
        <v>2.056</v>
      </c>
      <c r="F32" s="50">
        <v>2.4790000000000001</v>
      </c>
      <c r="G32" s="50">
        <v>2.7789999999999999</v>
      </c>
    </row>
    <row r="33" spans="2:7" x14ac:dyDescent="0.2">
      <c r="B33" s="49">
        <v>27</v>
      </c>
      <c r="C33" s="50">
        <v>1.3140000000000001</v>
      </c>
      <c r="D33" s="50">
        <v>1.7030000000000001</v>
      </c>
      <c r="E33" s="50">
        <v>2.052</v>
      </c>
      <c r="F33" s="50">
        <v>2.4729999999999999</v>
      </c>
      <c r="G33" s="50">
        <v>2.7709999999999999</v>
      </c>
    </row>
    <row r="34" spans="2:7" x14ac:dyDescent="0.2">
      <c r="B34" s="49">
        <v>28</v>
      </c>
      <c r="C34" s="50">
        <v>1.3129999999999999</v>
      </c>
      <c r="D34" s="50">
        <v>1.7010000000000001</v>
      </c>
      <c r="E34" s="50">
        <v>2.048</v>
      </c>
      <c r="F34" s="50">
        <v>2.4670000000000001</v>
      </c>
      <c r="G34" s="50">
        <v>2.7629999999999999</v>
      </c>
    </row>
    <row r="35" spans="2:7" x14ac:dyDescent="0.2">
      <c r="B35" s="49">
        <v>29</v>
      </c>
      <c r="C35" s="50">
        <v>1.3109999999999999</v>
      </c>
      <c r="D35" s="50">
        <v>1.6990000000000001</v>
      </c>
      <c r="E35" s="50">
        <v>2.0449999999999999</v>
      </c>
      <c r="F35" s="50">
        <v>2.4620000000000002</v>
      </c>
      <c r="G35" s="50">
        <v>2.7559999999999998</v>
      </c>
    </row>
    <row r="36" spans="2:7" x14ac:dyDescent="0.2">
      <c r="B36" s="49">
        <v>30</v>
      </c>
      <c r="C36" s="50">
        <v>1.31</v>
      </c>
      <c r="D36" s="50">
        <v>1.6970000000000001</v>
      </c>
      <c r="E36" s="50">
        <v>2.0419999999999998</v>
      </c>
      <c r="F36" s="50">
        <v>2.4569999999999999</v>
      </c>
      <c r="G36" s="50">
        <v>2.75</v>
      </c>
    </row>
    <row r="37" spans="2:7" x14ac:dyDescent="0.2">
      <c r="B37" s="49">
        <v>35</v>
      </c>
      <c r="C37" s="50">
        <v>1.306</v>
      </c>
      <c r="D37" s="50">
        <v>1.69</v>
      </c>
      <c r="E37" s="50">
        <v>2.0299999999999998</v>
      </c>
      <c r="F37" s="50">
        <v>2.4380000000000002</v>
      </c>
      <c r="G37" s="50">
        <v>2.7240000000000002</v>
      </c>
    </row>
    <row r="38" spans="2:7" x14ac:dyDescent="0.2">
      <c r="B38" s="49">
        <v>40</v>
      </c>
      <c r="C38" s="50">
        <v>1.3029999999999999</v>
      </c>
      <c r="D38" s="50">
        <v>1.6839999999999999</v>
      </c>
      <c r="E38" s="50">
        <v>2.0209999999999999</v>
      </c>
      <c r="F38" s="50">
        <v>2.423</v>
      </c>
      <c r="G38" s="50">
        <v>2.7040000000000002</v>
      </c>
    </row>
    <row r="39" spans="2:7" x14ac:dyDescent="0.2">
      <c r="B39" s="49">
        <v>50</v>
      </c>
      <c r="C39" s="50">
        <v>1.2989999999999999</v>
      </c>
      <c r="D39" s="50">
        <v>1.6759999999999999</v>
      </c>
      <c r="E39" s="50">
        <v>2.0089999999999999</v>
      </c>
      <c r="F39" s="50">
        <v>2.403</v>
      </c>
      <c r="G39" s="50">
        <v>2.6779999999999999</v>
      </c>
    </row>
    <row r="40" spans="2:7" x14ac:dyDescent="0.2">
      <c r="B40" s="49">
        <v>60</v>
      </c>
      <c r="C40" s="50">
        <v>1.296</v>
      </c>
      <c r="D40" s="50">
        <v>1.671</v>
      </c>
      <c r="E40" s="50">
        <v>2</v>
      </c>
      <c r="F40" s="50">
        <v>2.39</v>
      </c>
      <c r="G40" s="50">
        <v>2.66</v>
      </c>
    </row>
    <row r="41" spans="2:7" x14ac:dyDescent="0.2">
      <c r="B41" s="49">
        <v>120</v>
      </c>
      <c r="C41" s="50">
        <v>1.2889999999999999</v>
      </c>
      <c r="D41" s="50">
        <v>1.6579999999999999</v>
      </c>
      <c r="E41" s="50">
        <v>1.98</v>
      </c>
      <c r="F41" s="50">
        <v>2.3580000000000001</v>
      </c>
      <c r="G41" s="50">
        <v>2.617</v>
      </c>
    </row>
    <row r="42" spans="2:7" ht="12.75" thickBot="1" x14ac:dyDescent="0.25">
      <c r="B42" s="51" t="s">
        <v>178</v>
      </c>
      <c r="C42" s="52">
        <v>1.282</v>
      </c>
      <c r="D42" s="52">
        <v>1.645</v>
      </c>
      <c r="E42" s="52">
        <v>1.96</v>
      </c>
      <c r="F42" s="52">
        <v>2.3260000000000001</v>
      </c>
      <c r="G42" s="52">
        <v>2.5760000000000001</v>
      </c>
    </row>
    <row r="43" spans="2:7" ht="12.75" thickBot="1" x14ac:dyDescent="0.25">
      <c r="B43" s="53" t="s">
        <v>179</v>
      </c>
      <c r="C43" s="54">
        <v>0.8</v>
      </c>
      <c r="D43" s="54">
        <v>0.9</v>
      </c>
      <c r="E43" s="54">
        <v>0.95</v>
      </c>
      <c r="F43" s="54">
        <v>0.98</v>
      </c>
      <c r="G43" s="54">
        <v>0.99</v>
      </c>
    </row>
    <row r="45" spans="2:7" x14ac:dyDescent="0.2">
      <c r="B45" s="45" t="s">
        <v>180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952F-EB5C-44C1-9A0D-D815DFBC9342}">
  <dimension ref="B1:L41"/>
  <sheetViews>
    <sheetView workbookViewId="0">
      <selection activeCell="H23" sqref="H23"/>
    </sheetView>
  </sheetViews>
  <sheetFormatPr defaultColWidth="8.85546875" defaultRowHeight="12" x14ac:dyDescent="0.2"/>
  <cols>
    <col min="1" max="1" width="2" style="45" customWidth="1"/>
    <col min="2" max="2" width="6.5703125" style="45" customWidth="1"/>
    <col min="3" max="12" width="7.140625" style="45" bestFit="1" customWidth="1"/>
    <col min="13" max="16384" width="8.85546875" style="45"/>
  </cols>
  <sheetData>
    <row r="1" spans="2:12" ht="15.75" x14ac:dyDescent="0.25">
      <c r="B1" s="44" t="s">
        <v>181</v>
      </c>
    </row>
    <row r="2" spans="2:12" x14ac:dyDescent="0.2">
      <c r="B2" s="55" t="s">
        <v>182</v>
      </c>
    </row>
    <row r="3" spans="2:12" x14ac:dyDescent="0.2">
      <c r="B3" s="46"/>
    </row>
    <row r="4" spans="2:12" x14ac:dyDescent="0.2">
      <c r="B4" s="46" t="s">
        <v>183</v>
      </c>
    </row>
    <row r="5" spans="2:12" x14ac:dyDescent="0.2">
      <c r="B5" s="46"/>
    </row>
    <row r="6" spans="2:12" ht="12.75" thickBot="1" x14ac:dyDescent="0.25">
      <c r="B6" s="56" t="s">
        <v>184</v>
      </c>
      <c r="C6" s="48">
        <v>0</v>
      </c>
      <c r="D6" s="48">
        <v>0.01</v>
      </c>
      <c r="E6" s="48">
        <v>0.02</v>
      </c>
      <c r="F6" s="48">
        <v>0.03</v>
      </c>
      <c r="G6" s="48">
        <v>0.04</v>
      </c>
      <c r="H6" s="48">
        <v>0.05</v>
      </c>
      <c r="I6" s="48">
        <v>0.06</v>
      </c>
      <c r="J6" s="48">
        <v>7.0000000000000007E-2</v>
      </c>
      <c r="K6" s="48">
        <v>0.08</v>
      </c>
      <c r="L6" s="48">
        <v>0.09</v>
      </c>
    </row>
    <row r="7" spans="2:12" x14ac:dyDescent="0.2">
      <c r="B7" s="57">
        <v>0</v>
      </c>
      <c r="C7" s="58">
        <v>0.5</v>
      </c>
      <c r="D7" s="58">
        <v>0.504</v>
      </c>
      <c r="E7" s="58">
        <v>0.50800000000000001</v>
      </c>
      <c r="F7" s="58">
        <v>0.51200000000000001</v>
      </c>
      <c r="G7" s="58">
        <v>0.51600000000000001</v>
      </c>
      <c r="H7" s="58">
        <v>0.51990000000000003</v>
      </c>
      <c r="I7" s="58">
        <v>0.52390000000000003</v>
      </c>
      <c r="J7" s="58">
        <v>0.52790000000000004</v>
      </c>
      <c r="K7" s="58">
        <v>0.53190000000000004</v>
      </c>
      <c r="L7" s="58">
        <v>0.53590000000000004</v>
      </c>
    </row>
    <row r="8" spans="2:12" x14ac:dyDescent="0.2">
      <c r="B8" s="57">
        <v>0.1</v>
      </c>
      <c r="C8" s="58">
        <v>0.53979999999999995</v>
      </c>
      <c r="D8" s="58">
        <v>0.54379999999999995</v>
      </c>
      <c r="E8" s="58">
        <v>0.54779999999999995</v>
      </c>
      <c r="F8" s="58">
        <v>0.55169999999999997</v>
      </c>
      <c r="G8" s="58">
        <v>0.55569999999999997</v>
      </c>
      <c r="H8" s="58">
        <v>0.55959999999999999</v>
      </c>
      <c r="I8" s="58">
        <v>0.56359999999999999</v>
      </c>
      <c r="J8" s="58">
        <v>0.5675</v>
      </c>
      <c r="K8" s="58">
        <v>0.57140000000000002</v>
      </c>
      <c r="L8" s="58">
        <v>0.57530000000000003</v>
      </c>
    </row>
    <row r="9" spans="2:12" x14ac:dyDescent="0.2">
      <c r="B9" s="57">
        <v>0.2</v>
      </c>
      <c r="C9" s="58">
        <v>0.57930000000000004</v>
      </c>
      <c r="D9" s="58">
        <v>0.58320000000000005</v>
      </c>
      <c r="E9" s="58">
        <v>0.58709999999999996</v>
      </c>
      <c r="F9" s="58">
        <v>0.59099999999999997</v>
      </c>
      <c r="G9" s="58">
        <v>0.5948</v>
      </c>
      <c r="H9" s="58">
        <v>0.59870000000000001</v>
      </c>
      <c r="I9" s="58">
        <v>0.60260000000000002</v>
      </c>
      <c r="J9" s="58">
        <v>0.60640000000000005</v>
      </c>
      <c r="K9" s="58">
        <v>0.61029999999999995</v>
      </c>
      <c r="L9" s="58">
        <v>0.61409999999999998</v>
      </c>
    </row>
    <row r="10" spans="2:12" x14ac:dyDescent="0.2">
      <c r="B10" s="57">
        <v>0.3</v>
      </c>
      <c r="C10" s="58">
        <v>0.6179</v>
      </c>
      <c r="D10" s="58">
        <v>0.62170000000000003</v>
      </c>
      <c r="E10" s="58">
        <v>0.62549999999999994</v>
      </c>
      <c r="F10" s="58">
        <v>0.62929999999999997</v>
      </c>
      <c r="G10" s="58">
        <v>0.6331</v>
      </c>
      <c r="H10" s="58">
        <v>0.63680000000000003</v>
      </c>
      <c r="I10" s="58">
        <v>0.64059999999999995</v>
      </c>
      <c r="J10" s="58">
        <v>0.64429999999999998</v>
      </c>
      <c r="K10" s="58">
        <v>0.64800000000000002</v>
      </c>
      <c r="L10" s="58">
        <v>0.65169999999999995</v>
      </c>
    </row>
    <row r="11" spans="2:12" x14ac:dyDescent="0.2">
      <c r="B11" s="57">
        <v>0.4</v>
      </c>
      <c r="C11" s="58">
        <v>0.65539999999999998</v>
      </c>
      <c r="D11" s="58">
        <v>0.65910000000000002</v>
      </c>
      <c r="E11" s="58">
        <v>0.66279999999999994</v>
      </c>
      <c r="F11" s="58">
        <v>0.66639999999999999</v>
      </c>
      <c r="G11" s="58">
        <v>0.67</v>
      </c>
      <c r="H11" s="58">
        <v>0.67359999999999998</v>
      </c>
      <c r="I11" s="58">
        <v>0.67720000000000002</v>
      </c>
      <c r="J11" s="58">
        <v>0.68079999999999996</v>
      </c>
      <c r="K11" s="58">
        <v>0.68440000000000001</v>
      </c>
      <c r="L11" s="58">
        <v>0.68789999999999996</v>
      </c>
    </row>
    <row r="12" spans="2:12" x14ac:dyDescent="0.2">
      <c r="B12" s="57">
        <v>0.5</v>
      </c>
      <c r="C12" s="58">
        <v>0.6915</v>
      </c>
      <c r="D12" s="58">
        <v>0.69499999999999995</v>
      </c>
      <c r="E12" s="58">
        <v>0.69850000000000001</v>
      </c>
      <c r="F12" s="58">
        <v>0.70189999999999997</v>
      </c>
      <c r="G12" s="58">
        <v>0.70540000000000003</v>
      </c>
      <c r="H12" s="58">
        <v>0.70879999999999999</v>
      </c>
      <c r="I12" s="58">
        <v>0.71230000000000004</v>
      </c>
      <c r="J12" s="58">
        <v>0.7157</v>
      </c>
      <c r="K12" s="58">
        <v>0.71899999999999997</v>
      </c>
      <c r="L12" s="58">
        <v>0.72240000000000004</v>
      </c>
    </row>
    <row r="13" spans="2:12" x14ac:dyDescent="0.2">
      <c r="B13" s="57">
        <v>0.6</v>
      </c>
      <c r="C13" s="58">
        <v>0.72570000000000001</v>
      </c>
      <c r="D13" s="58">
        <v>0.72909999999999997</v>
      </c>
      <c r="E13" s="58">
        <v>0.73240000000000005</v>
      </c>
      <c r="F13" s="58">
        <v>0.73570000000000002</v>
      </c>
      <c r="G13" s="58">
        <v>0.7389</v>
      </c>
      <c r="H13" s="58">
        <v>0.74219999999999997</v>
      </c>
      <c r="I13" s="58">
        <v>0.74539999999999995</v>
      </c>
      <c r="J13" s="58">
        <v>0.74860000000000004</v>
      </c>
      <c r="K13" s="58">
        <v>0.75170000000000003</v>
      </c>
      <c r="L13" s="58">
        <v>0.75490000000000002</v>
      </c>
    </row>
    <row r="14" spans="2:12" x14ac:dyDescent="0.2">
      <c r="B14" s="57">
        <v>0.7</v>
      </c>
      <c r="C14" s="58">
        <v>0.75800000000000001</v>
      </c>
      <c r="D14" s="58">
        <v>0.7611</v>
      </c>
      <c r="E14" s="58">
        <v>0.76419999999999999</v>
      </c>
      <c r="F14" s="58">
        <v>0.76729999999999998</v>
      </c>
      <c r="G14" s="58">
        <v>0.77039999999999997</v>
      </c>
      <c r="H14" s="58">
        <v>0.77339999999999998</v>
      </c>
      <c r="I14" s="58">
        <v>0.77639999999999998</v>
      </c>
      <c r="J14" s="58">
        <v>0.77939999999999998</v>
      </c>
      <c r="K14" s="58">
        <v>0.7823</v>
      </c>
      <c r="L14" s="58">
        <v>0.78520000000000001</v>
      </c>
    </row>
    <row r="15" spans="2:12" x14ac:dyDescent="0.2">
      <c r="B15" s="57">
        <v>0.8</v>
      </c>
      <c r="C15" s="58">
        <v>0.78810000000000002</v>
      </c>
      <c r="D15" s="58">
        <v>0.79100000000000004</v>
      </c>
      <c r="E15" s="58">
        <v>0.79390000000000005</v>
      </c>
      <c r="F15" s="58">
        <v>0.79669999999999996</v>
      </c>
      <c r="G15" s="58">
        <v>0.79949999999999999</v>
      </c>
      <c r="H15" s="58">
        <v>0.80230000000000001</v>
      </c>
      <c r="I15" s="58">
        <v>0.80510000000000004</v>
      </c>
      <c r="J15" s="58">
        <v>0.80779999999999996</v>
      </c>
      <c r="K15" s="58">
        <v>0.81059999999999999</v>
      </c>
      <c r="L15" s="58">
        <v>0.81330000000000002</v>
      </c>
    </row>
    <row r="16" spans="2:12" x14ac:dyDescent="0.2">
      <c r="B16" s="57">
        <v>0.9</v>
      </c>
      <c r="C16" s="58">
        <v>0.81589999999999996</v>
      </c>
      <c r="D16" s="58">
        <v>0.81859999999999999</v>
      </c>
      <c r="E16" s="58">
        <v>0.82120000000000004</v>
      </c>
      <c r="F16" s="58">
        <v>0.82379999999999998</v>
      </c>
      <c r="G16" s="58">
        <v>0.82640000000000002</v>
      </c>
      <c r="H16" s="58">
        <v>0.82889999999999997</v>
      </c>
      <c r="I16" s="58">
        <v>0.83150000000000002</v>
      </c>
      <c r="J16" s="58">
        <v>0.83399999999999996</v>
      </c>
      <c r="K16" s="58">
        <v>0.83650000000000002</v>
      </c>
      <c r="L16" s="58">
        <v>0.83889999999999998</v>
      </c>
    </row>
    <row r="17" spans="2:12" x14ac:dyDescent="0.2">
      <c r="B17" s="57">
        <v>1</v>
      </c>
      <c r="C17" s="58">
        <v>0.84130000000000005</v>
      </c>
      <c r="D17" s="58">
        <v>0.84379999999999999</v>
      </c>
      <c r="E17" s="58">
        <v>0.84609999999999996</v>
      </c>
      <c r="F17" s="58">
        <v>0.84850000000000003</v>
      </c>
      <c r="G17" s="58">
        <v>0.8508</v>
      </c>
      <c r="H17" s="58">
        <v>0.85309999999999997</v>
      </c>
      <c r="I17" s="58">
        <v>0.85540000000000005</v>
      </c>
      <c r="J17" s="58">
        <v>0.85770000000000002</v>
      </c>
      <c r="K17" s="58">
        <v>0.8599</v>
      </c>
      <c r="L17" s="58">
        <v>0.86209999999999998</v>
      </c>
    </row>
    <row r="18" spans="2:12" x14ac:dyDescent="0.2">
      <c r="B18" s="57">
        <v>1.1000000000000001</v>
      </c>
      <c r="C18" s="58">
        <v>0.86429999999999996</v>
      </c>
      <c r="D18" s="58">
        <v>0.86650000000000005</v>
      </c>
      <c r="E18" s="58">
        <v>0.86860000000000004</v>
      </c>
      <c r="F18" s="58">
        <v>0.87080000000000002</v>
      </c>
      <c r="G18" s="58">
        <v>0.87290000000000001</v>
      </c>
      <c r="H18" s="58">
        <v>0.87490000000000001</v>
      </c>
      <c r="I18" s="58">
        <v>0.877</v>
      </c>
      <c r="J18" s="58">
        <v>0.879</v>
      </c>
      <c r="K18" s="58">
        <v>0.88100000000000001</v>
      </c>
      <c r="L18" s="58">
        <v>0.88300000000000001</v>
      </c>
    </row>
    <row r="19" spans="2:12" x14ac:dyDescent="0.2">
      <c r="B19" s="57">
        <v>1.2</v>
      </c>
      <c r="C19" s="58">
        <v>0.88490000000000002</v>
      </c>
      <c r="D19" s="58">
        <v>0.88690000000000002</v>
      </c>
      <c r="E19" s="58">
        <v>0.88880000000000003</v>
      </c>
      <c r="F19" s="58">
        <v>0.89070000000000005</v>
      </c>
      <c r="G19" s="58">
        <v>0.89249999999999996</v>
      </c>
      <c r="H19" s="58">
        <v>0.89439999999999997</v>
      </c>
      <c r="I19" s="58">
        <v>0.8962</v>
      </c>
      <c r="J19" s="58">
        <v>0.89800000000000002</v>
      </c>
      <c r="K19" s="58">
        <v>0.89970000000000006</v>
      </c>
      <c r="L19" s="58">
        <v>0.90149999999999997</v>
      </c>
    </row>
    <row r="20" spans="2:12" x14ac:dyDescent="0.2">
      <c r="B20" s="57">
        <v>1.3</v>
      </c>
      <c r="C20" s="58">
        <v>0.9032</v>
      </c>
      <c r="D20" s="58">
        <v>0.90490000000000004</v>
      </c>
      <c r="E20" s="58">
        <v>0.90659999999999996</v>
      </c>
      <c r="F20" s="58">
        <v>0.90820000000000001</v>
      </c>
      <c r="G20" s="58">
        <v>0.90990000000000004</v>
      </c>
      <c r="H20" s="58">
        <v>0.91149999999999998</v>
      </c>
      <c r="I20" s="58">
        <v>0.91310000000000002</v>
      </c>
      <c r="J20" s="58">
        <v>0.91469999999999996</v>
      </c>
      <c r="K20" s="58">
        <v>0.91620000000000001</v>
      </c>
      <c r="L20" s="58">
        <v>0.91769999999999996</v>
      </c>
    </row>
    <row r="21" spans="2:12" x14ac:dyDescent="0.2">
      <c r="B21" s="57">
        <v>1.4</v>
      </c>
      <c r="C21" s="58">
        <v>0.91920000000000002</v>
      </c>
      <c r="D21" s="58">
        <v>0.92069999999999996</v>
      </c>
      <c r="E21" s="58">
        <v>0.92220000000000002</v>
      </c>
      <c r="F21" s="58">
        <v>0.92359999999999998</v>
      </c>
      <c r="G21" s="58">
        <v>0.92510000000000003</v>
      </c>
      <c r="H21" s="58">
        <v>0.92649999999999999</v>
      </c>
      <c r="I21" s="58">
        <v>0.92789999999999995</v>
      </c>
      <c r="J21" s="58">
        <v>0.92920000000000003</v>
      </c>
      <c r="K21" s="58">
        <v>0.93059999999999998</v>
      </c>
      <c r="L21" s="58">
        <v>0.93189999999999995</v>
      </c>
    </row>
    <row r="22" spans="2:12" x14ac:dyDescent="0.2">
      <c r="B22" s="57">
        <v>1.5</v>
      </c>
      <c r="C22" s="58">
        <v>0.93320000000000003</v>
      </c>
      <c r="D22" s="58">
        <v>0.9345</v>
      </c>
      <c r="E22" s="58">
        <v>0.93569999999999998</v>
      </c>
      <c r="F22" s="58">
        <v>0.93700000000000006</v>
      </c>
      <c r="G22" s="58">
        <v>0.93820000000000003</v>
      </c>
      <c r="H22" s="58">
        <v>0.93940000000000001</v>
      </c>
      <c r="I22" s="58">
        <v>0.94059999999999999</v>
      </c>
      <c r="J22" s="58">
        <v>0.94179999999999997</v>
      </c>
      <c r="K22" s="58">
        <v>0.94289999999999996</v>
      </c>
      <c r="L22" s="58">
        <v>0.94410000000000005</v>
      </c>
    </row>
    <row r="23" spans="2:12" x14ac:dyDescent="0.2">
      <c r="B23" s="57">
        <v>1.6</v>
      </c>
      <c r="C23" s="58">
        <v>0.94520000000000004</v>
      </c>
      <c r="D23" s="58">
        <v>0.94630000000000003</v>
      </c>
      <c r="E23" s="58">
        <v>0.94740000000000002</v>
      </c>
      <c r="F23" s="58">
        <v>0.94840000000000002</v>
      </c>
      <c r="G23" s="58">
        <v>0.94950000000000001</v>
      </c>
      <c r="H23" s="58">
        <v>0.95050000000000001</v>
      </c>
      <c r="I23" s="58">
        <v>0.95150000000000001</v>
      </c>
      <c r="J23" s="58">
        <v>0.95250000000000001</v>
      </c>
      <c r="K23" s="58">
        <v>0.95350000000000001</v>
      </c>
      <c r="L23" s="58">
        <v>0.95450000000000002</v>
      </c>
    </row>
    <row r="24" spans="2:12" x14ac:dyDescent="0.2">
      <c r="B24" s="57">
        <v>1.7</v>
      </c>
      <c r="C24" s="58">
        <v>0.95540000000000003</v>
      </c>
      <c r="D24" s="58">
        <v>0.95640000000000003</v>
      </c>
      <c r="E24" s="58">
        <v>0.95730000000000004</v>
      </c>
      <c r="F24" s="58">
        <v>0.95820000000000005</v>
      </c>
      <c r="G24" s="58">
        <v>0.95909999999999995</v>
      </c>
      <c r="H24" s="58">
        <v>0.95989999999999998</v>
      </c>
      <c r="I24" s="58">
        <v>0.96079999999999999</v>
      </c>
      <c r="J24" s="58">
        <v>0.96160000000000001</v>
      </c>
      <c r="K24" s="58">
        <v>0.96250000000000002</v>
      </c>
      <c r="L24" s="58">
        <v>0.96330000000000005</v>
      </c>
    </row>
    <row r="25" spans="2:12" x14ac:dyDescent="0.2">
      <c r="B25" s="57">
        <v>1.8</v>
      </c>
      <c r="C25" s="58">
        <v>0.96409999999999996</v>
      </c>
      <c r="D25" s="58">
        <v>0.96489999999999998</v>
      </c>
      <c r="E25" s="58">
        <v>0.96560000000000001</v>
      </c>
      <c r="F25" s="58">
        <v>0.96640000000000004</v>
      </c>
      <c r="G25" s="58">
        <v>0.96709999999999996</v>
      </c>
      <c r="H25" s="58">
        <v>0.96779999999999999</v>
      </c>
      <c r="I25" s="58">
        <v>0.96860000000000002</v>
      </c>
      <c r="J25" s="58">
        <v>0.96930000000000005</v>
      </c>
      <c r="K25" s="58">
        <v>0.96989999999999998</v>
      </c>
      <c r="L25" s="58">
        <v>0.97060000000000002</v>
      </c>
    </row>
    <row r="26" spans="2:12" x14ac:dyDescent="0.2">
      <c r="B26" s="57">
        <v>1.9</v>
      </c>
      <c r="C26" s="58">
        <v>0.97130000000000005</v>
      </c>
      <c r="D26" s="58">
        <v>0.97189999999999999</v>
      </c>
      <c r="E26" s="58">
        <v>0.97260000000000002</v>
      </c>
      <c r="F26" s="58">
        <v>0.97319999999999995</v>
      </c>
      <c r="G26" s="58">
        <v>0.9738</v>
      </c>
      <c r="H26" s="58">
        <v>0.97440000000000004</v>
      </c>
      <c r="I26" s="58">
        <v>0.97499999999999998</v>
      </c>
      <c r="J26" s="58">
        <v>0.97560000000000002</v>
      </c>
      <c r="K26" s="58">
        <v>0.97609999999999997</v>
      </c>
      <c r="L26" s="58">
        <v>0.97670000000000001</v>
      </c>
    </row>
    <row r="27" spans="2:12" x14ac:dyDescent="0.2">
      <c r="B27" s="57">
        <v>2</v>
      </c>
      <c r="C27" s="58">
        <v>0.97719999999999996</v>
      </c>
      <c r="D27" s="58">
        <v>0.9778</v>
      </c>
      <c r="E27" s="58">
        <v>0.97829999999999995</v>
      </c>
      <c r="F27" s="58">
        <v>0.9788</v>
      </c>
      <c r="G27" s="58">
        <v>0.97929999999999995</v>
      </c>
      <c r="H27" s="58">
        <v>0.9798</v>
      </c>
      <c r="I27" s="58">
        <v>0.98029999999999995</v>
      </c>
      <c r="J27" s="58">
        <v>0.98080000000000001</v>
      </c>
      <c r="K27" s="58">
        <v>0.98119999999999996</v>
      </c>
      <c r="L27" s="58">
        <v>0.98170000000000002</v>
      </c>
    </row>
    <row r="28" spans="2:12" x14ac:dyDescent="0.2">
      <c r="B28" s="57">
        <v>2.1</v>
      </c>
      <c r="C28" s="58">
        <v>0.98209999999999997</v>
      </c>
      <c r="D28" s="58">
        <v>0.98260000000000003</v>
      </c>
      <c r="E28" s="58">
        <v>0.98299999999999998</v>
      </c>
      <c r="F28" s="58">
        <v>0.98340000000000005</v>
      </c>
      <c r="G28" s="58">
        <v>0.98380000000000001</v>
      </c>
      <c r="H28" s="58">
        <v>0.98419999999999996</v>
      </c>
      <c r="I28" s="58">
        <v>0.98460000000000003</v>
      </c>
      <c r="J28" s="58">
        <v>0.98499999999999999</v>
      </c>
      <c r="K28" s="58">
        <v>0.98540000000000005</v>
      </c>
      <c r="L28" s="58">
        <v>0.98570000000000002</v>
      </c>
    </row>
    <row r="29" spans="2:12" x14ac:dyDescent="0.2">
      <c r="B29" s="57">
        <v>2.2000000000000002</v>
      </c>
      <c r="C29" s="58">
        <v>0.98609999999999998</v>
      </c>
      <c r="D29" s="58">
        <v>0.98640000000000005</v>
      </c>
      <c r="E29" s="58">
        <v>0.98680000000000001</v>
      </c>
      <c r="F29" s="58">
        <v>0.98709999999999998</v>
      </c>
      <c r="G29" s="58">
        <v>0.98750000000000004</v>
      </c>
      <c r="H29" s="58">
        <v>0.98780000000000001</v>
      </c>
      <c r="I29" s="58">
        <v>0.98809999999999998</v>
      </c>
      <c r="J29" s="58">
        <v>0.98839999999999995</v>
      </c>
      <c r="K29" s="58">
        <v>0.98870000000000002</v>
      </c>
      <c r="L29" s="58">
        <v>0.98899999999999999</v>
      </c>
    </row>
    <row r="30" spans="2:12" x14ac:dyDescent="0.2">
      <c r="B30" s="57">
        <v>2.2999999999999998</v>
      </c>
      <c r="C30" s="58">
        <v>0.98929999999999996</v>
      </c>
      <c r="D30" s="58">
        <v>0.98960000000000004</v>
      </c>
      <c r="E30" s="58">
        <v>0.98980000000000001</v>
      </c>
      <c r="F30" s="58">
        <v>0.99009999999999998</v>
      </c>
      <c r="G30" s="58">
        <v>0.99039999999999995</v>
      </c>
      <c r="H30" s="58">
        <v>0.99060000000000004</v>
      </c>
      <c r="I30" s="58">
        <v>0.9909</v>
      </c>
      <c r="J30" s="58">
        <v>0.99109999999999998</v>
      </c>
      <c r="K30" s="58">
        <v>0.99129999999999996</v>
      </c>
      <c r="L30" s="58">
        <v>0.99160000000000004</v>
      </c>
    </row>
    <row r="31" spans="2:12" x14ac:dyDescent="0.2">
      <c r="B31" s="57">
        <v>2.4</v>
      </c>
      <c r="C31" s="58">
        <v>0.99180000000000001</v>
      </c>
      <c r="D31" s="58">
        <v>0.99199999999999999</v>
      </c>
      <c r="E31" s="58">
        <v>0.99219999999999997</v>
      </c>
      <c r="F31" s="58">
        <v>0.99250000000000005</v>
      </c>
      <c r="G31" s="58">
        <v>0.99270000000000003</v>
      </c>
      <c r="H31" s="58">
        <v>0.9929</v>
      </c>
      <c r="I31" s="58">
        <v>0.99309999999999998</v>
      </c>
      <c r="J31" s="58">
        <v>0.99319999999999997</v>
      </c>
      <c r="K31" s="58">
        <v>0.99339999999999995</v>
      </c>
      <c r="L31" s="58">
        <v>0.99360000000000004</v>
      </c>
    </row>
    <row r="32" spans="2:12" x14ac:dyDescent="0.2">
      <c r="B32" s="57">
        <v>2.5</v>
      </c>
      <c r="C32" s="58">
        <v>0.99380000000000002</v>
      </c>
      <c r="D32" s="58">
        <v>0.99399999999999999</v>
      </c>
      <c r="E32" s="58">
        <v>0.99409999999999998</v>
      </c>
      <c r="F32" s="58">
        <v>0.99429999999999996</v>
      </c>
      <c r="G32" s="58">
        <v>0.99450000000000005</v>
      </c>
      <c r="H32" s="58">
        <v>0.99460000000000004</v>
      </c>
      <c r="I32" s="58">
        <v>0.99480000000000002</v>
      </c>
      <c r="J32" s="58">
        <v>0.99490000000000001</v>
      </c>
      <c r="K32" s="58">
        <v>0.99509999999999998</v>
      </c>
      <c r="L32" s="58">
        <v>0.99519999999999997</v>
      </c>
    </row>
    <row r="33" spans="2:12" x14ac:dyDescent="0.2">
      <c r="B33" s="57">
        <v>2.6</v>
      </c>
      <c r="C33" s="58">
        <v>0.99529999999999996</v>
      </c>
      <c r="D33" s="58">
        <v>0.99550000000000005</v>
      </c>
      <c r="E33" s="58">
        <v>0.99560000000000004</v>
      </c>
      <c r="F33" s="58">
        <v>0.99570000000000003</v>
      </c>
      <c r="G33" s="58">
        <v>0.99590000000000001</v>
      </c>
      <c r="H33" s="58">
        <v>0.996</v>
      </c>
      <c r="I33" s="58">
        <v>0.99609999999999999</v>
      </c>
      <c r="J33" s="58">
        <v>0.99619999999999997</v>
      </c>
      <c r="K33" s="58">
        <v>0.99629999999999996</v>
      </c>
      <c r="L33" s="58">
        <v>0.99639999999999995</v>
      </c>
    </row>
    <row r="34" spans="2:12" x14ac:dyDescent="0.2">
      <c r="B34" s="57">
        <v>2.7</v>
      </c>
      <c r="C34" s="58">
        <v>0.99650000000000005</v>
      </c>
      <c r="D34" s="58">
        <v>0.99660000000000004</v>
      </c>
      <c r="E34" s="58">
        <v>0.99670000000000003</v>
      </c>
      <c r="F34" s="58">
        <v>0.99680000000000002</v>
      </c>
      <c r="G34" s="58">
        <v>0.99690000000000001</v>
      </c>
      <c r="H34" s="58">
        <v>0.997</v>
      </c>
      <c r="I34" s="58">
        <v>0.99709999999999999</v>
      </c>
      <c r="J34" s="58">
        <v>0.99719999999999998</v>
      </c>
      <c r="K34" s="58">
        <v>0.99729999999999996</v>
      </c>
      <c r="L34" s="58">
        <v>0.99739999999999995</v>
      </c>
    </row>
    <row r="35" spans="2:12" x14ac:dyDescent="0.2">
      <c r="B35" s="57">
        <v>2.8</v>
      </c>
      <c r="C35" s="58">
        <v>0.99739999999999995</v>
      </c>
      <c r="D35" s="58">
        <v>0.99750000000000005</v>
      </c>
      <c r="E35" s="58">
        <v>0.99760000000000004</v>
      </c>
      <c r="F35" s="58">
        <v>0.99770000000000003</v>
      </c>
      <c r="G35" s="58">
        <v>0.99770000000000003</v>
      </c>
      <c r="H35" s="58">
        <v>0.99780000000000002</v>
      </c>
      <c r="I35" s="58">
        <v>0.99790000000000001</v>
      </c>
      <c r="J35" s="58">
        <v>0.99790000000000001</v>
      </c>
      <c r="K35" s="58">
        <v>0.998</v>
      </c>
      <c r="L35" s="58">
        <v>0.99809999999999999</v>
      </c>
    </row>
    <row r="36" spans="2:12" x14ac:dyDescent="0.2">
      <c r="B36" s="57">
        <v>2.9</v>
      </c>
      <c r="C36" s="58">
        <v>0.99809999999999999</v>
      </c>
      <c r="D36" s="58">
        <v>0.99819999999999998</v>
      </c>
      <c r="E36" s="58">
        <v>0.99819999999999998</v>
      </c>
      <c r="F36" s="58">
        <v>0.99829999999999997</v>
      </c>
      <c r="G36" s="58">
        <v>0.99839999999999995</v>
      </c>
      <c r="H36" s="58">
        <v>0.99839999999999995</v>
      </c>
      <c r="I36" s="58">
        <v>0.99850000000000005</v>
      </c>
      <c r="J36" s="58">
        <v>0.99850000000000005</v>
      </c>
      <c r="K36" s="58">
        <v>0.99860000000000004</v>
      </c>
      <c r="L36" s="58">
        <v>0.99860000000000004</v>
      </c>
    </row>
    <row r="37" spans="2:12" x14ac:dyDescent="0.2">
      <c r="B37" s="59">
        <v>3</v>
      </c>
      <c r="C37" s="60">
        <v>0.99870000000000003</v>
      </c>
      <c r="D37" s="60">
        <v>0.99870000000000003</v>
      </c>
      <c r="E37" s="60">
        <v>0.99870000000000003</v>
      </c>
      <c r="F37" s="60">
        <v>0.99880000000000002</v>
      </c>
      <c r="G37" s="60">
        <v>0.99880000000000002</v>
      </c>
      <c r="H37" s="60">
        <v>0.99890000000000001</v>
      </c>
      <c r="I37" s="60">
        <v>0.99890000000000001</v>
      </c>
      <c r="J37" s="60">
        <v>0.99890000000000001</v>
      </c>
      <c r="K37" s="60">
        <v>0.999</v>
      </c>
      <c r="L37" s="60">
        <v>0.999</v>
      </c>
    </row>
    <row r="38" spans="2:12" x14ac:dyDescent="0.2">
      <c r="B38" s="61"/>
      <c r="C38" s="58"/>
      <c r="D38" s="58"/>
      <c r="E38" s="58"/>
      <c r="F38" s="58"/>
      <c r="G38" s="58"/>
      <c r="H38" s="58"/>
      <c r="I38" s="58"/>
      <c r="J38" s="58"/>
      <c r="K38" s="58"/>
      <c r="L38" s="58"/>
    </row>
    <row r="39" spans="2:12" x14ac:dyDescent="0.2">
      <c r="B39" s="61"/>
      <c r="C39" s="58"/>
      <c r="D39" s="58"/>
      <c r="E39" s="58"/>
      <c r="F39" s="58"/>
      <c r="G39" s="58"/>
      <c r="H39" s="58"/>
      <c r="I39" s="58"/>
      <c r="J39" s="58"/>
      <c r="K39" s="58"/>
      <c r="L39" s="58"/>
    </row>
    <row r="40" spans="2:12" x14ac:dyDescent="0.2">
      <c r="B40" s="61"/>
      <c r="C40" s="58"/>
      <c r="D40" s="58"/>
      <c r="E40" s="58"/>
      <c r="F40" s="58"/>
      <c r="G40" s="58"/>
      <c r="H40" s="58"/>
      <c r="I40" s="58"/>
      <c r="J40" s="58"/>
      <c r="K40" s="58"/>
      <c r="L40" s="58"/>
    </row>
    <row r="41" spans="2:12" x14ac:dyDescent="0.2">
      <c r="B41" s="61"/>
      <c r="C41" s="58"/>
      <c r="D41" s="58"/>
      <c r="E41" s="58"/>
      <c r="F41" s="58"/>
      <c r="G41" s="58"/>
      <c r="H41" s="58"/>
      <c r="I41" s="58"/>
      <c r="J41" s="58"/>
      <c r="K41" s="58"/>
      <c r="L41" s="5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DATA</vt:lpstr>
      <vt:lpstr>PivotTable</vt:lpstr>
      <vt:lpstr>Calculations</vt:lpstr>
      <vt:lpstr>t-table</vt:lpstr>
      <vt:lpstr>z-table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Tessier, Nicholas</dc:creator>
  <cp:lastModifiedBy>Tessier, Nicholas</cp:lastModifiedBy>
  <dcterms:created xsi:type="dcterms:W3CDTF">2022-08-27T16:37:59Z</dcterms:created>
  <dcterms:modified xsi:type="dcterms:W3CDTF">2022-10-07T23:13:51Z</dcterms:modified>
</cp:coreProperties>
</file>