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Data\"/>
    </mc:Choice>
  </mc:AlternateContent>
  <bookViews>
    <workbookView xWindow="0" yWindow="0" windowWidth="18795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B24" i="1"/>
  <c r="D26" i="1"/>
  <c r="C26" i="1"/>
  <c r="B26" i="1"/>
  <c r="D25" i="1"/>
  <c r="C25" i="1"/>
  <c r="B25" i="1"/>
  <c r="D23" i="1"/>
  <c r="C23" i="1"/>
  <c r="D24" i="1"/>
  <c r="C24" i="1"/>
  <c r="B23" i="1"/>
  <c r="D22" i="1"/>
  <c r="C22" i="1"/>
  <c r="B22" i="1"/>
  <c r="D21" i="1"/>
  <c r="C21" i="1"/>
  <c r="B21" i="1"/>
  <c r="G9" i="1"/>
  <c r="G8" i="1"/>
  <c r="F9" i="1"/>
  <c r="F8" i="1"/>
  <c r="E9" i="1"/>
  <c r="E8" i="1"/>
  <c r="D9" i="1"/>
  <c r="D8" i="1"/>
  <c r="G7" i="1"/>
  <c r="G6" i="1"/>
  <c r="F7" i="1"/>
  <c r="F6" i="1"/>
  <c r="E7" i="1"/>
  <c r="E6" i="1"/>
  <c r="D7" i="1"/>
  <c r="D6" i="1"/>
  <c r="G5" i="1"/>
  <c r="G4" i="1"/>
  <c r="F5" i="1"/>
  <c r="F4" i="1"/>
  <c r="E5" i="1"/>
  <c r="E4" i="1"/>
  <c r="D5" i="1"/>
  <c r="D4" i="1"/>
  <c r="I3" i="1" l="1"/>
  <c r="M3" i="1" s="1"/>
  <c r="H3" i="1"/>
  <c r="L3" i="1" s="1"/>
  <c r="I9" i="1"/>
  <c r="M9" i="1" s="1"/>
  <c r="H9" i="1"/>
  <c r="L9" i="1" s="1"/>
  <c r="I8" i="1"/>
  <c r="M8" i="1" s="1"/>
  <c r="H8" i="1"/>
  <c r="L8" i="1" s="1"/>
  <c r="I7" i="1"/>
  <c r="M7" i="1" s="1"/>
  <c r="H7" i="1"/>
  <c r="L7" i="1" s="1"/>
  <c r="H6" i="1"/>
  <c r="L6" i="1" s="1"/>
  <c r="I6" i="1"/>
  <c r="M6" i="1" s="1"/>
  <c r="H5" i="1" l="1"/>
  <c r="L5" i="1" s="1"/>
  <c r="I5" i="1"/>
  <c r="M5" i="1" s="1"/>
  <c r="I4" i="1"/>
  <c r="M4" i="1" s="1"/>
  <c r="H4" i="1"/>
  <c r="L4" i="1" s="1"/>
</calcChain>
</file>

<file path=xl/sharedStrings.xml><?xml version="1.0" encoding="utf-8"?>
<sst xmlns="http://schemas.openxmlformats.org/spreadsheetml/2006/main" count="43" uniqueCount="39">
  <si>
    <t>Isolated Vehicle</t>
  </si>
  <si>
    <t>2-Vehicle Platoon (Leader)_0.5L</t>
  </si>
  <si>
    <t>2-Vehicle Platoon (Follower)_0.5L</t>
  </si>
  <si>
    <t>2-Vehicle Platoon (Leader)_0.75L</t>
  </si>
  <si>
    <t>2-Vehicle Platoon (Follower)_0.75L</t>
  </si>
  <si>
    <t>2-Vehicle Platoon (Leader)_1L</t>
  </si>
  <si>
    <t>2-Vehicle Platoon (Follower)_1L</t>
  </si>
  <si>
    <t>3-Vehicle Platoon (Leader)_0.5L</t>
  </si>
  <si>
    <t>3-Vehicle Platoon (Middle)_0.5L</t>
  </si>
  <si>
    <t>3-Vehicle Platoon (Follower)_0.5L</t>
  </si>
  <si>
    <t>3-Vehicle Platoon (Leader)_0.75L</t>
  </si>
  <si>
    <t>3-Vehicle Platoon (Middle)_0.75L</t>
  </si>
  <si>
    <t>3-Vehicle Platoon (Follower)_0.75L</t>
  </si>
  <si>
    <t>3-Vehicle Platoon (Middle)_1L</t>
  </si>
  <si>
    <t>3-Vehicle Platoon (Follower)_1L</t>
  </si>
  <si>
    <t>3-Vehicle Platoon (Leader)_1L</t>
  </si>
  <si>
    <t>Drag Prediction Method_Track Based</t>
  </si>
  <si>
    <t>Shear CD</t>
  </si>
  <si>
    <t>Pressure CD</t>
  </si>
  <si>
    <t>Forebody Surface-Cutout</t>
  </si>
  <si>
    <t>Base Surface-Cutout</t>
  </si>
  <si>
    <t xml:space="preserve">Base Half </t>
  </si>
  <si>
    <t xml:space="preserve">Frontbody Half </t>
  </si>
  <si>
    <t>Pressure Drag Only</t>
  </si>
  <si>
    <t>Without Side Mirrors and Wheels</t>
  </si>
  <si>
    <t>Forebody Diff.</t>
  </si>
  <si>
    <t>Base Diff.</t>
  </si>
  <si>
    <t>Forebody Pref. %</t>
  </si>
  <si>
    <t>Base Pred. %</t>
  </si>
  <si>
    <t>Wheels Contribution</t>
  </si>
  <si>
    <t>Side Mirrors</t>
  </si>
  <si>
    <t>Front 0.5L Pressure</t>
  </si>
  <si>
    <t>Front 0.5L Shear</t>
  </si>
  <si>
    <t>Front 0.75L Pressure</t>
  </si>
  <si>
    <t>Front 0.75L Shear</t>
  </si>
  <si>
    <t>Front 1L Pressure</t>
  </si>
  <si>
    <t>Front 1L Shear</t>
  </si>
  <si>
    <t>Leader</t>
  </si>
  <si>
    <t>Follower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</si>
</sst>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3" borderId="0" xfId="2" applyBorder="1" applyAlignment="1">
      <alignment horizontal="center" vertical="center"/>
    </xf>
    <xf numFmtId="0" fontId="1" fillId="4" borderId="0" xfId="3" applyBorder="1" applyAlignment="1">
      <alignment horizontal="center" vertical="center"/>
    </xf>
    <xf numFmtId="0" fontId="1" fillId="4" borderId="0" xfId="3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0" xfId="1" applyBorder="1" applyAlignment="1">
      <alignment horizontal="center" vertical="center"/>
    </xf>
    <xf numFmtId="0" fontId="1" fillId="2" borderId="0" xfId="1" applyBorder="1" applyAlignment="1">
      <alignment horizontal="center"/>
    </xf>
    <xf numFmtId="0" fontId="1" fillId="3" borderId="0" xfId="2" applyBorder="1" applyAlignment="1">
      <alignment horizontal="center"/>
    </xf>
    <xf numFmtId="0" fontId="0" fillId="0" borderId="0" xfId="0" applyBorder="1"/>
    <xf numFmtId="0" fontId="1" fillId="3" borderId="0" xfId="2" applyNumberFormat="1" applyBorder="1" applyAlignment="1">
      <alignment horizontal="center"/>
    </xf>
    <xf numFmtId="0" fontId="1" fillId="3" borderId="0" xfId="2" applyNumberFormat="1" applyBorder="1" applyAlignment="1">
      <alignment horizontal="center" vertical="center"/>
    </xf>
    <xf numFmtId="0" fontId="1" fillId="2" borderId="0" xfId="1" applyNumberFormat="1" applyBorder="1" applyAlignment="1">
      <alignment horizontal="center" vertical="center"/>
    </xf>
    <xf numFmtId="0" fontId="1" fillId="2" borderId="0" xfId="1" applyNumberForma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5" borderId="0" xfId="0" applyFill="1"/>
    <xf numFmtId="11" fontId="0" fillId="5" borderId="0" xfId="0" applyNumberFormat="1" applyFill="1"/>
    <xf numFmtId="0" fontId="1" fillId="4" borderId="0" xfId="3"/>
    <xf numFmtId="0" fontId="1" fillId="2" borderId="0" xfId="1"/>
    <xf numFmtId="0" fontId="1" fillId="2" borderId="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4" borderId="0" xfId="3" applyFont="1" applyBorder="1" applyAlignment="1">
      <alignment horizontal="center" vertical="center"/>
    </xf>
    <xf numFmtId="11" fontId="1" fillId="4" borderId="0" xfId="3" applyNumberForma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4">
    <cellStyle name="20% - Accent1" xfId="1" builtinId="30"/>
    <cellStyle name="20% - Accent2" xfId="2" builtinId="34"/>
    <cellStyle name="20% - Accent4" xfId="3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Leader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Sheet1!$B$21:$B$26</c:f>
              <c:numCache>
                <c:formatCode>General</c:formatCode>
                <c:ptCount val="6"/>
                <c:pt idx="0">
                  <c:v>0.14899999999999999</c:v>
                </c:pt>
                <c:pt idx="1">
                  <c:v>2.7400000000000001E-2</c:v>
                </c:pt>
                <c:pt idx="2">
                  <c:v>0.179311</c:v>
                </c:pt>
                <c:pt idx="3">
                  <c:v>2.8163790000000001E-2</c:v>
                </c:pt>
                <c:pt idx="4">
                  <c:v>0.19678580000000001</c:v>
                </c:pt>
                <c:pt idx="5">
                  <c:v>2.8377429999999999E-2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C-4B67-A564-6F79601CC1C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Sheet1!$C$21:$C$26</c:f>
              <c:numCache>
                <c:formatCode>General</c:formatCode>
                <c:ptCount val="6"/>
                <c:pt idx="0">
                  <c:v>0.19281613183164478</c:v>
                </c:pt>
                <c:pt idx="1">
                  <c:v>3.1651030097274838E-2</c:v>
                </c:pt>
                <c:pt idx="2">
                  <c:v>0.22181924782904852</c:v>
                </c:pt>
                <c:pt idx="3">
                  <c:v>3.2574417014229945E-2</c:v>
                </c:pt>
                <c:pt idx="4">
                  <c:v>0.24044158996178402</c:v>
                </c:pt>
                <c:pt idx="5">
                  <c:v>3.2885008662342237E-2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C-4B67-A564-6F79601CC1C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Sheet1!$D$21:$D$26</c:f>
              <c:numCache>
                <c:formatCode>General</c:formatCode>
                <c:ptCount val="6"/>
                <c:pt idx="0">
                  <c:v>0.19962061190962913</c:v>
                </c:pt>
                <c:pt idx="1">
                  <c:v>3.2193815213322145E-2</c:v>
                </c:pt>
                <c:pt idx="2">
                  <c:v>0.22889174969082135</c:v>
                </c:pt>
                <c:pt idx="3">
                  <c:v>3.3114976081985381E-2</c:v>
                </c:pt>
                <c:pt idx="4">
                  <c:v>0.24752443777985578</c:v>
                </c:pt>
                <c:pt idx="5">
                  <c:v>3.34235742140961E-2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EC-4B67-A564-6F79601CC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858136"/>
        <c:axId val="385987352"/>
      </c:barChart>
      <c:catAx>
        <c:axId val="559858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87352"/>
        <c:crosses val="autoZero"/>
        <c:auto val="1"/>
        <c:lblAlgn val="ctr"/>
        <c:lblOffset val="100"/>
        <c:noMultiLvlLbl val="0"/>
      </c:catAx>
      <c:valAx>
        <c:axId val="38598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5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Follower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Sheet1!$E$21:$E$26</c:f>
              <c:numCache>
                <c:formatCode>General</c:formatCode>
                <c:ptCount val="6"/>
                <c:pt idx="0">
                  <c:v>0.25159999999999999</c:v>
                </c:pt>
                <c:pt idx="1">
                  <c:v>2.4219999999999998E-2</c:v>
                </c:pt>
                <c:pt idx="2">
                  <c:v>0.2305893</c:v>
                </c:pt>
                <c:pt idx="3">
                  <c:v>2.460176E-2</c:v>
                </c:pt>
                <c:pt idx="4">
                  <c:v>0.217194</c:v>
                </c:pt>
                <c:pt idx="5">
                  <c:v>2.450921E-2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1-4D61-8E1E-317DC67046A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Sheet1!$F$21:$F$26</c:f>
              <c:numCache>
                <c:formatCode>General</c:formatCode>
                <c:ptCount val="6"/>
                <c:pt idx="0">
                  <c:v>0.27335073689667821</c:v>
                </c:pt>
                <c:pt idx="1">
                  <c:v>2.6536669806897555E-2</c:v>
                </c:pt>
                <c:pt idx="2">
                  <c:v>0.25434677640231279</c:v>
                </c:pt>
                <c:pt idx="3">
                  <c:v>2.7086164567367899E-2</c:v>
                </c:pt>
                <c:pt idx="4">
                  <c:v>0.24320792066068198</c:v>
                </c:pt>
                <c:pt idx="5">
                  <c:v>2.7082589634209581E-2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1-4D61-8E1E-317DC67046A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Sheet1!$G$21:$G$26</c:f>
              <c:numCache>
                <c:formatCode>General</c:formatCode>
                <c:ptCount val="6"/>
                <c:pt idx="0">
                  <c:v>0.28265674837905447</c:v>
                </c:pt>
                <c:pt idx="1">
                  <c:v>2.7063722021030447E-2</c:v>
                </c:pt>
                <c:pt idx="2">
                  <c:v>0.26313247721902649</c:v>
                </c:pt>
                <c:pt idx="3">
                  <c:v>2.7629316024036281E-2</c:v>
                </c:pt>
                <c:pt idx="4">
                  <c:v>0.25176775993751233</c:v>
                </c:pt>
                <c:pt idx="5">
                  <c:v>2.7635436255689191E-2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F1-4D61-8E1E-317DC6704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9648"/>
        <c:axId val="613804440"/>
      </c:barChart>
      <c:catAx>
        <c:axId val="663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04440"/>
        <c:crosses val="autoZero"/>
        <c:auto val="1"/>
        <c:lblAlgn val="ctr"/>
        <c:lblOffset val="100"/>
        <c:noMultiLvlLbl val="0"/>
      </c:catAx>
      <c:valAx>
        <c:axId val="6138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1304925</xdr:colOff>
      <xdr:row>27</xdr:row>
      <xdr:rowOff>4762</xdr:rowOff>
    </xdr:from>
    <xdr:to>
      <xdr:col>4</xdr:col>
      <xdr:colOff>66675</xdr:colOff>
      <xdr:row>41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27</xdr:row>
      <xdr:rowOff>4762</xdr:rowOff>
    </xdr:from>
    <xdr:to>
      <xdr:col>8</xdr:col>
      <xdr:colOff>361950</xdr:colOff>
      <xdr:row>41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7"/>
  <sheetViews>
    <sheetView tabSelected="1" zoomScaleNormal="100" workbookViewId="0">
      <selection activeCell="C12" sqref="C12"/>
    </sheetView>
  </sheetViews>
  <sheetFormatPr defaultRowHeight="15" x14ac:dyDescent="0.25"/>
  <cols>
    <col min="1" max="1" width="34.28515625" bestFit="1" customWidth="1"/>
    <col min="2" max="2" width="20.140625" customWidth="1"/>
    <col min="3" max="3" width="12.85546875" customWidth="1"/>
    <col min="4" max="4" width="19.85546875" bestFit="1" customWidth="1"/>
    <col min="5" max="5" width="19.85546875" customWidth="1"/>
    <col min="6" max="7" width="12.85546875" customWidth="1"/>
    <col min="8" max="8" width="17.7109375" style="1" bestFit="1" customWidth="1"/>
    <col min="9" max="9" width="14.85546875" style="1" bestFit="1" customWidth="1"/>
    <col min="10" max="10" width="23.5703125" style="1" bestFit="1" customWidth="1"/>
    <col min="11" max="11" width="19.140625" style="2" bestFit="1" customWidth="1"/>
    <col min="12" max="12" width="15.28515625" style="1" bestFit="1" customWidth="1"/>
    <col min="13" max="13" width="14.7109375" style="1" bestFit="1" customWidth="1"/>
    <col min="14" max="14" width="16.28515625" bestFit="1" customWidth="1"/>
    <col min="15" max="15" width="12.28515625" bestFit="1" customWidth="1"/>
  </cols>
  <sheetData>
    <row r="1" spans="1:15" x14ac:dyDescent="0.25">
      <c r="B1" s="22" t="s">
        <v>24</v>
      </c>
      <c r="C1" s="22"/>
      <c r="D1" s="23" t="s">
        <v>29</v>
      </c>
      <c r="E1" s="23"/>
      <c r="F1" s="23" t="s">
        <v>30</v>
      </c>
      <c r="G1" s="23"/>
      <c r="H1" s="22" t="s">
        <v>23</v>
      </c>
      <c r="I1" s="22"/>
      <c r="J1" s="22"/>
      <c r="K1" s="22"/>
      <c r="L1" s="22"/>
      <c r="M1" s="22"/>
    </row>
    <row r="2" spans="1:15" x14ac:dyDescent="0.25">
      <c r="A2" s="3" t="s">
        <v>16</v>
      </c>
      <c r="B2" s="3" t="s">
        <v>18</v>
      </c>
      <c r="C2" s="3" t="s">
        <v>17</v>
      </c>
      <c r="D2" s="3" t="s">
        <v>18</v>
      </c>
      <c r="E2" s="3" t="s">
        <v>17</v>
      </c>
      <c r="F2" s="3" t="s">
        <v>18</v>
      </c>
      <c r="G2" s="3" t="s">
        <v>17</v>
      </c>
      <c r="H2" s="3" t="s">
        <v>22</v>
      </c>
      <c r="I2" s="7" t="s">
        <v>21</v>
      </c>
      <c r="J2" s="3" t="s">
        <v>19</v>
      </c>
      <c r="K2" s="3" t="s">
        <v>20</v>
      </c>
      <c r="L2" s="7" t="s">
        <v>25</v>
      </c>
      <c r="M2" s="7" t="s">
        <v>26</v>
      </c>
      <c r="N2" s="16" t="s">
        <v>27</v>
      </c>
      <c r="O2" s="16" t="s">
        <v>28</v>
      </c>
    </row>
    <row r="3" spans="1:15" x14ac:dyDescent="0.25">
      <c r="A3" s="8" t="s">
        <v>0</v>
      </c>
      <c r="B3" s="14">
        <v>0.21641569999999999</v>
      </c>
      <c r="C3" s="14">
        <v>2.8589300000000002E-2</v>
      </c>
      <c r="D3" s="14"/>
      <c r="E3" s="14"/>
      <c r="F3" s="14"/>
      <c r="G3" s="14"/>
      <c r="H3" s="14">
        <f>5.087636/(0.5*1.18415*13.4112^2*1.151455)</f>
        <v>4.1491301670347744E-2</v>
      </c>
      <c r="I3" s="15">
        <f>21.44912/(0.5*1.18415*13.4112^2*1.151455)</f>
        <v>0.17492444594768361</v>
      </c>
      <c r="J3" s="21">
        <v>3.2162181938026856E-2</v>
      </c>
      <c r="K3" s="8">
        <v>8.9349429850081208E-2</v>
      </c>
      <c r="L3" s="9">
        <f>(H3-J3)/H3*100</f>
        <v>22.48451930103715</v>
      </c>
      <c r="M3" s="9">
        <f>(I3-K3)/I3*100</f>
        <v>48.921130282268365</v>
      </c>
      <c r="N3" s="20"/>
      <c r="O3" s="20"/>
    </row>
    <row r="4" spans="1:15" x14ac:dyDescent="0.25">
      <c r="A4" s="4" t="s">
        <v>1</v>
      </c>
      <c r="B4" s="4">
        <v>0.14899999999999999</v>
      </c>
      <c r="C4" s="4">
        <v>2.7400000000000001E-2</v>
      </c>
      <c r="D4" s="13">
        <f>5.57/(0.5*1.227634*13.4112^2*1.151455)</f>
        <v>4.3816131831644782E-2</v>
      </c>
      <c r="E4" s="13">
        <f>0.5404/(0.5*1.227634*13.4112^2*1.151455)</f>
        <v>4.2510300972748369E-3</v>
      </c>
      <c r="F4" s="13">
        <f>0.865/(0.5*1.227634*13.4112^2*1.151455)</f>
        <v>6.8044800779843333E-3</v>
      </c>
      <c r="G4" s="13">
        <f>0.069/(0.5*1.227634*13.4112^2*1.151455)</f>
        <v>5.4278511604730528E-4</v>
      </c>
      <c r="H4" s="10">
        <f>5.524849/(0.5*1.227634*13.4112^2*1.151455)</f>
        <v>4.3460953704475912E-2</v>
      </c>
      <c r="I4" s="10">
        <f>13.42/(0.5*1.227634*13.4112^2*1.151455)</f>
        <v>0.10556777184572226</v>
      </c>
      <c r="J4" s="4">
        <v>3.15E-2</v>
      </c>
      <c r="K4" s="4">
        <v>3.9600000000000003E-2</v>
      </c>
      <c r="L4" s="10">
        <f>(H4-J4)/H4*100</f>
        <v>27.521148720774825</v>
      </c>
      <c r="M4" s="10">
        <f>(I4-K4)/I4*100</f>
        <v>62.488551849070163</v>
      </c>
      <c r="N4" s="17">
        <v>5.8999999999999997E-2</v>
      </c>
      <c r="O4" s="17">
        <v>0.33300000000000002</v>
      </c>
    </row>
    <row r="5" spans="1:15" x14ac:dyDescent="0.25">
      <c r="A5" s="4" t="s">
        <v>2</v>
      </c>
      <c r="B5" s="4">
        <v>0.25159999999999999</v>
      </c>
      <c r="C5" s="4">
        <v>2.4219999999999998E-2</v>
      </c>
      <c r="D5" s="13">
        <f>2.765/(0.5*1.227634*13.4112^2*1.151455)</f>
        <v>2.1750736896678245E-2</v>
      </c>
      <c r="E5" s="13">
        <f>0.2945/(0.5*1.227634*13.4112^2*1.151455)</f>
        <v>2.3166698068975561E-3</v>
      </c>
      <c r="F5" s="13">
        <f>1.183/(0.5*1.227634*13.4112^2*1.151455)</f>
        <v>9.3060114823762616E-3</v>
      </c>
      <c r="G5" s="13">
        <f>0.067/(0.5*1.227634*13.4112^2*1.151455)</f>
        <v>5.2705221413289053E-4</v>
      </c>
      <c r="H5" s="10">
        <f>12.694/(0.5*1.227634*13.4112^2*1.151455)</f>
        <v>9.9856728450789745E-2</v>
      </c>
      <c r="I5" s="10">
        <f>19.29/(0.5*1.227634*13.4112^2*1.151455)</f>
        <v>0.15174383896452923</v>
      </c>
      <c r="J5" s="4">
        <v>7.2099999999999997E-2</v>
      </c>
      <c r="K5" s="4">
        <v>8.9499999999999996E-2</v>
      </c>
      <c r="L5" s="10">
        <f>(H5-J5)/H5*100</f>
        <v>27.796553002904055</v>
      </c>
      <c r="M5" s="10">
        <f>(I5-K5)/I5*100</f>
        <v>41.019022181901562</v>
      </c>
      <c r="N5" s="17">
        <v>7.9500000000000005E-3</v>
      </c>
      <c r="O5" s="17">
        <v>7.1000000000000002E-4</v>
      </c>
    </row>
    <row r="6" spans="1:15" x14ac:dyDescent="0.25">
      <c r="A6" s="4" t="s">
        <v>3</v>
      </c>
      <c r="B6" s="13">
        <v>0.179311</v>
      </c>
      <c r="C6" s="13">
        <v>2.8163790000000001E-2</v>
      </c>
      <c r="D6" s="13">
        <f>5.403739/(0.5*1.227634*13.4112^2*1.151455)</f>
        <v>4.250824782904853E-2</v>
      </c>
      <c r="E6" s="13">
        <f>0.5606883/(0.5*1.227634*13.4112^2*1.151455)</f>
        <v>4.4106270142299465E-3</v>
      </c>
      <c r="F6" s="13">
        <f>0.8990715/(0.5*1.227634*13.4112^2*1.151455)</f>
        <v>7.0725018617728225E-3</v>
      </c>
      <c r="G6" s="13">
        <f>0.06871702/(0.5*1.227634*13.4112^2*1.151455)</f>
        <v>5.4055906775543464E-4</v>
      </c>
      <c r="H6" s="12">
        <f>5.277335/(0.5*1.227634*13.4112^2*1.151455)</f>
        <v>4.1513896962253702E-2</v>
      </c>
      <c r="I6" s="12">
        <f>17.51706/(0.5*1.227634*13.4112^2*1.151455)</f>
        <v>0.13779709340445809</v>
      </c>
      <c r="J6" s="4">
        <v>2.9499999999999998E-2</v>
      </c>
      <c r="K6" s="4">
        <v>6.2199999999999998E-2</v>
      </c>
      <c r="L6" s="10">
        <f>(H6-J6)/H6*100</f>
        <v>28.939458449726551</v>
      </c>
      <c r="M6" s="10">
        <f>(I6-K6)/I6*100</f>
        <v>54.861166906160832</v>
      </c>
      <c r="N6" s="17">
        <v>1.2999999999999999E-4</v>
      </c>
      <c r="O6" s="17">
        <v>2.5000000000000001E-4</v>
      </c>
    </row>
    <row r="7" spans="1:15" x14ac:dyDescent="0.25">
      <c r="A7" s="4" t="s">
        <v>4</v>
      </c>
      <c r="B7" s="13">
        <v>0.2305893</v>
      </c>
      <c r="C7" s="13">
        <v>2.460176E-2</v>
      </c>
      <c r="D7" s="13">
        <f>3.020101/(0.5*1.227634*13.4112^2*1.151455)</f>
        <v>2.3757476402312787E-2</v>
      </c>
      <c r="E7" s="13">
        <f>0.3158228/(0.5*1.227634*13.4112^2*1.151455)</f>
        <v>2.4844045673678965E-3</v>
      </c>
      <c r="F7" s="13">
        <f>1.116857/(0.5*1.227634*13.4112^2*1.151455)</f>
        <v>8.7857008167136971E-3</v>
      </c>
      <c r="G7" s="13">
        <f>0.06904657/(0.5*1.227634*13.4112^2*1.151455)</f>
        <v>5.4315145666838233E-4</v>
      </c>
      <c r="H7" s="12">
        <f>10.19966/(0.5*1.227634*13.4112^2*1.151455)</f>
        <v>8.0235125170189228E-2</v>
      </c>
      <c r="I7" s="12">
        <f>19.11334/(0.5*1.227634*13.4112^2*1.151455)</f>
        <v>0.150354151738429</v>
      </c>
      <c r="J7" s="4">
        <v>5.7200000000000001E-2</v>
      </c>
      <c r="K7" s="4">
        <v>8.7099999999999997E-2</v>
      </c>
      <c r="L7" s="10">
        <f>(H7-J7)/H7*100</f>
        <v>28.709527306561437</v>
      </c>
      <c r="M7" s="10">
        <f>(I7-K7)/I7*100</f>
        <v>42.070106483306297</v>
      </c>
      <c r="N7" s="17">
        <v>5.1999999999999998E-2</v>
      </c>
      <c r="O7" s="17">
        <v>3.6999999999999998E-2</v>
      </c>
    </row>
    <row r="8" spans="1:15" x14ac:dyDescent="0.25">
      <c r="A8" s="4" t="s">
        <v>5</v>
      </c>
      <c r="B8" s="13">
        <v>0.19678580000000001</v>
      </c>
      <c r="C8" s="13">
        <v>2.8377429999999999E-2</v>
      </c>
      <c r="D8" s="13">
        <f>5.549617/(0.5*1.227634*13.4112^2*1.151455)</f>
        <v>4.3655789961784021E-2</v>
      </c>
      <c r="E8" s="13">
        <f>0.573013/(0.5*1.227634*13.4112^2*1.151455)</f>
        <v>4.5075786623422391E-3</v>
      </c>
      <c r="F8" s="13">
        <f>0.9003867/(0.5*1.227634*13.4112^2*1.151455)</f>
        <v>7.0828478180717412E-3</v>
      </c>
      <c r="G8" s="13">
        <f>0.0684636/(0.5*1.227634*13.4112^2*1.151455)</f>
        <v>5.3856555175385915E-4</v>
      </c>
      <c r="H8" s="12">
        <f>5.280948/(0.5*1.227634*13.4112^2*1.151455)</f>
        <v>4.1542318449562091E-2</v>
      </c>
      <c r="I8" s="12">
        <f>19.73488/(0.5*1.227634*13.4112^2*1.151455)</f>
        <v>0.15524346566637162</v>
      </c>
      <c r="J8" s="4">
        <v>2.92E-2</v>
      </c>
      <c r="K8" s="4">
        <v>7.3999999999999996E-2</v>
      </c>
      <c r="L8" s="10">
        <f>(H8-J8)/H8*100</f>
        <v>29.710230218728185</v>
      </c>
      <c r="M8" s="10">
        <f>(I8-K8)/I8*100</f>
        <v>52.332937375263931</v>
      </c>
      <c r="N8" s="18">
        <v>7.6000000000000004E-5</v>
      </c>
      <c r="O8" s="17">
        <v>2E-3</v>
      </c>
    </row>
    <row r="9" spans="1:15" x14ac:dyDescent="0.25">
      <c r="A9" s="4" t="s">
        <v>6</v>
      </c>
      <c r="B9" s="13">
        <v>0.217194</v>
      </c>
      <c r="C9" s="13">
        <v>2.450921E-2</v>
      </c>
      <c r="D9" s="13">
        <f>3.306945/(0.5*1.227634*13.4112^2*1.151455)</f>
        <v>2.6013920660681963E-2</v>
      </c>
      <c r="E9" s="13">
        <f>0.3271335/(0.5*1.227634*13.4112^2*1.151455)</f>
        <v>2.5733796342095813E-3</v>
      </c>
      <c r="F9" s="13">
        <f>1.088145/(0.5*1.227634*13.4112^2*1.151455)</f>
        <v>8.5598392768303604E-3</v>
      </c>
      <c r="G9" s="13">
        <f>0.07027904/(0.5*1.227634*13.4112^2*1.151455)</f>
        <v>5.5284662147961165E-4</v>
      </c>
      <c r="H9" s="12">
        <f>8.510664/(0.5*1.227634*13.4112^2*1.151455)</f>
        <v>6.694872096926989E-2</v>
      </c>
      <c r="I9" s="12">
        <f>19.0995/(0.5*1.227634*13.4112^2*1.151455)</f>
        <v>0.15024528005718124</v>
      </c>
      <c r="J9" s="4">
        <v>4.6600000000000003E-2</v>
      </c>
      <c r="K9" s="4">
        <v>8.6999999999999994E-2</v>
      </c>
      <c r="L9" s="10">
        <f>(H9-J9)/H9*100</f>
        <v>30.394488012116238</v>
      </c>
      <c r="M9" s="10">
        <f>(I9-K9)/I9*100</f>
        <v>42.094686790234597</v>
      </c>
      <c r="N9" s="17">
        <v>1.6999999999999999E-3</v>
      </c>
      <c r="O9" s="17">
        <v>3.3E-4</v>
      </c>
    </row>
    <row r="10" spans="1:15" x14ac:dyDescent="0.25">
      <c r="A10" s="5" t="s">
        <v>7</v>
      </c>
      <c r="B10" s="5"/>
      <c r="C10" s="5"/>
      <c r="D10" s="5"/>
      <c r="E10" s="5"/>
      <c r="F10" s="5"/>
      <c r="G10" s="5"/>
      <c r="H10" s="6"/>
      <c r="I10" s="6"/>
      <c r="J10" s="5"/>
      <c r="K10" s="5"/>
      <c r="L10" s="6"/>
      <c r="M10" s="6"/>
      <c r="N10" s="19"/>
      <c r="O10" s="19"/>
    </row>
    <row r="11" spans="1:15" x14ac:dyDescent="0.25">
      <c r="A11" s="5" t="s">
        <v>8</v>
      </c>
      <c r="B11" s="5"/>
      <c r="C11" s="5"/>
      <c r="D11" s="24"/>
      <c r="E11" s="25"/>
      <c r="F11" s="25"/>
      <c r="G11" s="5"/>
      <c r="H11" s="6"/>
      <c r="I11" s="6"/>
      <c r="J11" s="5"/>
      <c r="K11" s="5"/>
      <c r="L11" s="6"/>
      <c r="M11" s="6"/>
      <c r="N11" s="19"/>
      <c r="O11" s="19"/>
    </row>
    <row r="12" spans="1:15" x14ac:dyDescent="0.25">
      <c r="A12" s="5" t="s">
        <v>9</v>
      </c>
      <c r="B12" s="25"/>
      <c r="C12" s="5"/>
      <c r="D12" s="5"/>
      <c r="E12" s="25"/>
      <c r="F12" s="25"/>
      <c r="G12" s="5"/>
      <c r="H12" s="6"/>
      <c r="I12" s="6"/>
      <c r="J12" s="5"/>
      <c r="K12" s="5"/>
      <c r="L12" s="6"/>
      <c r="M12" s="6"/>
      <c r="N12" s="19"/>
      <c r="O12" s="19"/>
    </row>
    <row r="13" spans="1:15" x14ac:dyDescent="0.25">
      <c r="A13" s="5" t="s">
        <v>10</v>
      </c>
      <c r="B13" s="5"/>
      <c r="C13" s="5"/>
      <c r="D13" s="25"/>
      <c r="E13" s="25"/>
      <c r="F13" s="5"/>
      <c r="G13" s="5"/>
      <c r="H13" s="6"/>
      <c r="I13" s="6"/>
      <c r="J13" s="5"/>
      <c r="K13" s="5"/>
      <c r="L13" s="6"/>
      <c r="M13" s="6"/>
      <c r="N13" s="19"/>
      <c r="O13" s="19"/>
    </row>
    <row r="14" spans="1:15" x14ac:dyDescent="0.25">
      <c r="A14" s="5" t="s">
        <v>11</v>
      </c>
      <c r="B14" s="5"/>
      <c r="C14" s="5"/>
      <c r="D14" s="25"/>
      <c r="E14" s="25"/>
      <c r="F14" s="5"/>
      <c r="G14" s="5"/>
      <c r="H14" s="6"/>
      <c r="I14" s="6"/>
      <c r="J14" s="5"/>
      <c r="K14" s="5"/>
      <c r="L14" s="6"/>
      <c r="M14" s="6"/>
      <c r="N14" s="19"/>
      <c r="O14" s="19"/>
    </row>
    <row r="15" spans="1:15" x14ac:dyDescent="0.25">
      <c r="A15" s="5" t="s">
        <v>12</v>
      </c>
      <c r="B15" s="5"/>
      <c r="C15" s="5"/>
      <c r="D15" s="5"/>
      <c r="E15" s="5"/>
      <c r="F15" s="5"/>
      <c r="G15" s="5"/>
      <c r="H15" s="6"/>
      <c r="I15" s="6"/>
      <c r="J15" s="5"/>
      <c r="K15" s="5"/>
      <c r="L15" s="6"/>
      <c r="M15" s="6"/>
      <c r="N15" s="19"/>
      <c r="O15" s="19"/>
    </row>
    <row r="16" spans="1:15" x14ac:dyDescent="0.25">
      <c r="A16" s="5" t="s">
        <v>15</v>
      </c>
      <c r="B16" s="5"/>
      <c r="C16" s="19"/>
      <c r="D16" s="5"/>
      <c r="E16" s="5"/>
      <c r="F16" s="5"/>
      <c r="G16" s="5"/>
      <c r="H16" s="6"/>
      <c r="I16" s="6"/>
      <c r="J16" s="5"/>
      <c r="K16" s="5"/>
      <c r="L16" s="6"/>
      <c r="M16" s="6"/>
      <c r="N16" s="19"/>
      <c r="O16" s="19"/>
    </row>
    <row r="17" spans="1:15" x14ac:dyDescent="0.25">
      <c r="A17" s="5" t="s">
        <v>13</v>
      </c>
      <c r="B17" s="5"/>
      <c r="C17" s="5"/>
      <c r="D17" s="5"/>
      <c r="E17" s="5"/>
      <c r="F17" s="5"/>
      <c r="G17" s="5"/>
      <c r="H17" s="6"/>
      <c r="I17" s="6"/>
      <c r="J17" s="5"/>
      <c r="K17" s="5"/>
      <c r="L17" s="6"/>
      <c r="M17" s="6"/>
      <c r="N17" s="19"/>
      <c r="O17" s="19"/>
    </row>
    <row r="18" spans="1:15" x14ac:dyDescent="0.25">
      <c r="A18" s="5" t="s">
        <v>14</v>
      </c>
      <c r="B18" s="5"/>
      <c r="C18" s="5"/>
      <c r="D18" s="5"/>
      <c r="E18" s="5"/>
      <c r="F18" s="5"/>
      <c r="G18" s="5"/>
      <c r="H18" s="6"/>
      <c r="I18" s="6"/>
      <c r="J18" s="5"/>
      <c r="K18" s="5"/>
      <c r="L18" s="6"/>
      <c r="M18" s="6"/>
      <c r="N18" s="19"/>
      <c r="O18" s="19"/>
    </row>
    <row r="19" spans="1:15" x14ac:dyDescent="0.25">
      <c r="A19" s="11"/>
      <c r="B19" s="11"/>
      <c r="C19" s="11"/>
      <c r="D19" s="11"/>
      <c r="E19" s="11"/>
      <c r="F19" s="11"/>
      <c r="G19" s="11"/>
      <c r="H19" s="2"/>
      <c r="I19" s="2"/>
      <c r="J19" s="2"/>
      <c r="L19" s="2"/>
      <c r="M19" s="2"/>
    </row>
    <row r="20" spans="1:15" x14ac:dyDescent="0.25">
      <c r="A20" s="11"/>
      <c r="B20" s="26" t="s">
        <v>37</v>
      </c>
      <c r="C20" s="26"/>
      <c r="D20" s="26"/>
      <c r="E20" s="26" t="s">
        <v>38</v>
      </c>
      <c r="F20" s="26"/>
      <c r="G20" s="26"/>
      <c r="H20" s="2"/>
      <c r="I20" s="2"/>
      <c r="J20" s="2"/>
      <c r="L20" s="2"/>
      <c r="M20" s="2"/>
    </row>
    <row r="21" spans="1:15" x14ac:dyDescent="0.25">
      <c r="A21" s="24" t="s">
        <v>31</v>
      </c>
      <c r="B21" s="11">
        <f>B4</f>
        <v>0.14899999999999999</v>
      </c>
      <c r="C21" s="11">
        <f>B4+D4</f>
        <v>0.19281613183164478</v>
      </c>
      <c r="D21" s="11">
        <f>B4+D4+F4</f>
        <v>0.19962061190962913</v>
      </c>
      <c r="E21" s="11">
        <f>B5</f>
        <v>0.25159999999999999</v>
      </c>
      <c r="F21" s="11">
        <f>B5+D5</f>
        <v>0.27335073689667821</v>
      </c>
      <c r="G21" s="11">
        <f>B5+D5+F5</f>
        <v>0.28265674837905447</v>
      </c>
      <c r="H21" s="2"/>
      <c r="I21" s="2"/>
      <c r="J21" s="2"/>
      <c r="L21" s="2"/>
      <c r="M21" s="2"/>
    </row>
    <row r="22" spans="1:15" x14ac:dyDescent="0.25">
      <c r="A22" s="24" t="s">
        <v>32</v>
      </c>
      <c r="B22" s="11">
        <f>C4</f>
        <v>2.7400000000000001E-2</v>
      </c>
      <c r="C22" s="11">
        <f>C4+E4</f>
        <v>3.1651030097274838E-2</v>
      </c>
      <c r="D22" s="11">
        <f>C4+E4+G4</f>
        <v>3.2193815213322145E-2</v>
      </c>
      <c r="E22" s="11">
        <f>C5</f>
        <v>2.4219999999999998E-2</v>
      </c>
      <c r="F22" s="11">
        <f>C5+E5</f>
        <v>2.6536669806897555E-2</v>
      </c>
      <c r="G22" s="11">
        <f>C5+E5+G5</f>
        <v>2.7063722021030447E-2</v>
      </c>
    </row>
    <row r="23" spans="1:15" x14ac:dyDescent="0.25">
      <c r="A23" s="24" t="s">
        <v>33</v>
      </c>
      <c r="B23" s="11">
        <f>B6</f>
        <v>0.179311</v>
      </c>
      <c r="C23" s="11">
        <f>B6+D6</f>
        <v>0.22181924782904852</v>
      </c>
      <c r="D23" s="11">
        <f>B6+D6+F6</f>
        <v>0.22889174969082135</v>
      </c>
      <c r="E23" s="11">
        <f>B7</f>
        <v>0.2305893</v>
      </c>
      <c r="F23" s="11">
        <f>B7+D7</f>
        <v>0.25434677640231279</v>
      </c>
      <c r="G23" s="11">
        <f>B7+D7+F7</f>
        <v>0.26313247721902649</v>
      </c>
    </row>
    <row r="24" spans="1:15" x14ac:dyDescent="0.25">
      <c r="A24" s="24" t="s">
        <v>34</v>
      </c>
      <c r="B24" s="11">
        <f>C6</f>
        <v>2.8163790000000001E-2</v>
      </c>
      <c r="C24" s="11">
        <f>C6+E6</f>
        <v>3.2574417014229945E-2</v>
      </c>
      <c r="D24" s="11">
        <f>C6+E6+G6</f>
        <v>3.3114976081985381E-2</v>
      </c>
      <c r="E24" s="11">
        <f>C7</f>
        <v>2.460176E-2</v>
      </c>
      <c r="F24" s="11">
        <f>C7+E7</f>
        <v>2.7086164567367899E-2</v>
      </c>
      <c r="G24" s="11">
        <f>C7+E7+G7</f>
        <v>2.7629316024036281E-2</v>
      </c>
    </row>
    <row r="25" spans="1:15" x14ac:dyDescent="0.25">
      <c r="A25" s="24" t="s">
        <v>35</v>
      </c>
      <c r="B25" s="11">
        <f>B8</f>
        <v>0.19678580000000001</v>
      </c>
      <c r="C25" s="11">
        <f>B8+D8</f>
        <v>0.24044158996178402</v>
      </c>
      <c r="D25" s="11">
        <f>B8+D8+F8</f>
        <v>0.24752443777985578</v>
      </c>
      <c r="E25" s="11">
        <f>B9</f>
        <v>0.217194</v>
      </c>
      <c r="F25" s="11">
        <f>B9+D9</f>
        <v>0.24320792066068198</v>
      </c>
      <c r="G25" s="11">
        <f>B9+D9+F9</f>
        <v>0.25176775993751233</v>
      </c>
    </row>
    <row r="26" spans="1:15" x14ac:dyDescent="0.25">
      <c r="A26" s="24" t="s">
        <v>36</v>
      </c>
      <c r="B26" s="11">
        <f>C8</f>
        <v>2.8377429999999999E-2</v>
      </c>
      <c r="C26" s="11">
        <f>C8+E8</f>
        <v>3.2885008662342237E-2</v>
      </c>
      <c r="D26" s="11">
        <f>C8+E8+G8</f>
        <v>3.34235742140961E-2</v>
      </c>
      <c r="E26" s="11">
        <f>C9</f>
        <v>2.450921E-2</v>
      </c>
      <c r="F26" s="11">
        <f>C9+E9</f>
        <v>2.7082589634209581E-2</v>
      </c>
      <c r="G26" s="11">
        <f>C9+E9+G9</f>
        <v>2.7635436255689191E-2</v>
      </c>
    </row>
    <row r="27" spans="1:15" x14ac:dyDescent="0.25">
      <c r="B27" s="11"/>
    </row>
  </sheetData>
  <mergeCells count="6">
    <mergeCell ref="H1:M1"/>
    <mergeCell ref="B1:C1"/>
    <mergeCell ref="D1:E1"/>
    <mergeCell ref="F1:G1"/>
    <mergeCell ref="B20:D20"/>
    <mergeCell ref="E20:G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Northumbria University at Newcastle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Windtunnel</dc:creator>
  <cp:lastModifiedBy>Windtunnel</cp:lastModifiedBy>
  <dcterms:created xsi:type="dcterms:W3CDTF">2018-01-29T12:42:04Z</dcterms:created>
  <dcterms:modified xsi:type="dcterms:W3CDTF">2018-11-15T13:41:51Z</dcterms:modified>
</cp:coreProperties>
</file>