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force\syseng\Projects\Porg\Baseboard\OSH_Interns\josh_baseboard\Schematic + PCB Calculations\"/>
    </mc:Choice>
  </mc:AlternateContent>
  <xr:revisionPtr revIDLastSave="0" documentId="13_ncr:1_{7240168F-020F-40F2-93AF-4E0F9C1CAB80}" xr6:coauthVersionLast="47" xr6:coauthVersionMax="47" xr10:uidLastSave="{00000000-0000-0000-0000-000000000000}"/>
  <bookViews>
    <workbookView xWindow="-108" yWindow="-108" windowWidth="23256" windowHeight="12576" activeTab="2" xr2:uid="{691C4CCE-9C56-4510-89B8-47FCDBA49DD7}"/>
  </bookViews>
  <sheets>
    <sheet name="5V Buck Converter Calculations" sheetId="1" r:id="rId1"/>
    <sheet name="3.3V Buck ConverterCalculations" sheetId="2" r:id="rId2"/>
    <sheet name="Battery Charg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2" l="1"/>
  <c r="B22" i="1"/>
  <c r="D19" i="1"/>
  <c r="C16" i="1"/>
  <c r="C15" i="1"/>
  <c r="B15" i="1" l="1"/>
  <c r="B16" i="1"/>
  <c r="B4" i="3"/>
  <c r="O3" i="1"/>
  <c r="O4" i="1"/>
  <c r="O2" i="1"/>
  <c r="B12" i="2"/>
  <c r="B10" i="2"/>
  <c r="B9" i="2"/>
  <c r="B8" i="2"/>
  <c r="B13" i="2" s="1"/>
  <c r="B23" i="1"/>
  <c r="B27" i="1" s="1"/>
  <c r="C19" i="1"/>
  <c r="B18" i="1"/>
  <c r="B19" i="1" s="1"/>
  <c r="B14" i="1"/>
  <c r="B11" i="1"/>
  <c r="G9" i="1" s="1"/>
  <c r="B10" i="1"/>
  <c r="K8" i="1"/>
  <c r="G8" i="1"/>
  <c r="B20" i="1" l="1"/>
  <c r="C25" i="1"/>
  <c r="B25" i="1"/>
  <c r="B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7" authorId="0" shapeId="0" xr:uid="{EDC1E199-ADDE-4374-99EE-2A85D0890E94}">
      <text>
        <r>
          <rPr>
            <sz val="11"/>
            <color theme="1"/>
            <rFont val="Arial"/>
            <family val="2"/>
          </rPr>
          <t>======
ID#AAAAJt5RKZw
Joshua Yoon US    (2020-06-25 15:46:36)
organic semiconductor or specialty polymer caps recommended</t>
        </r>
      </text>
    </comment>
    <comment ref="E8" authorId="0" shapeId="0" xr:uid="{E2E3BCA1-D2D3-4365-83B7-0E7EDA3ADF21}">
      <text>
        <r>
          <rPr>
            <sz val="11"/>
            <color theme="1"/>
            <rFont val="Arial"/>
            <family val="2"/>
          </rPr>
          <t>======
ID#AAAAJtf6OIM
Joshua Yoon US    (2020-06-25 16:41:09)
recommended by the datasheet</t>
        </r>
      </text>
    </comment>
    <comment ref="G8" authorId="0" shapeId="0" xr:uid="{4E7A9704-CA98-4200-B1BC-FD79DB6F4DA1}">
      <text>
        <r>
          <rPr>
            <sz val="11"/>
            <color theme="1"/>
            <rFont val="Arial"/>
            <family val="2"/>
          </rPr>
          <t>======
ID#AAAAJt55D8M
Joshua Yoon US    (2020-06-25 15:08:10)
So use 56k resistors</t>
        </r>
      </text>
    </comment>
    <comment ref="C19" authorId="0" shapeId="0" xr:uid="{9DEA52A8-9194-4E95-9157-FBC7925C95BF}">
      <text>
        <r>
          <rPr>
            <sz val="11"/>
            <color theme="1"/>
            <rFont val="Arial"/>
            <family val="2"/>
          </rPr>
          <t>======
ID#AAAAJtf6OJM
Joshua Yoon US    (2020-06-25 16:46:50)
estimate of 30% of load current</t>
        </r>
      </text>
    </comment>
    <comment ref="B25" authorId="0" shapeId="0" xr:uid="{0015EFAD-55E1-4FE4-98AF-DEE76203A296}">
      <text>
        <r>
          <rPr>
            <sz val="11"/>
            <color theme="1"/>
            <rFont val="Arial"/>
            <family val="2"/>
          </rPr>
          <t>======
ID#AAAAJtf6OIE
Joshua Yoon US    (2020-06-25 16:39:32)
Must be greater or equal to this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ABA0CB81-0628-44F5-9537-E75041A96788}">
      <text>
        <r>
          <rPr>
            <sz val="11"/>
            <color theme="1"/>
            <rFont val="Arial"/>
            <family val="2"/>
          </rPr>
          <t>======
ID#AAAAJt-_D74
Joshua Yoon US    (2020-06-25 18:53:35)
Irms should be greater than this current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tc={FBD5838D-A0D9-401A-A66C-0780F581C657}</author>
  </authors>
  <commentList>
    <comment ref="B11" authorId="0" shapeId="0" xr:uid="{FBD5838D-A0D9-401A-A66C-0780F581C657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charging current of 1.5A?</t>
      </text>
    </comment>
  </commentList>
</comments>
</file>

<file path=xl/sharedStrings.xml><?xml version="1.0" encoding="utf-8"?>
<sst xmlns="http://schemas.openxmlformats.org/spreadsheetml/2006/main" count="112" uniqueCount="105">
  <si>
    <t>GS9238</t>
  </si>
  <si>
    <t>Minimum on time should be 110 ns, Min off time should be 440 ns</t>
  </si>
  <si>
    <t>Vin (Max)</t>
  </si>
  <si>
    <t>Vin (min)</t>
  </si>
  <si>
    <t>Vout</t>
  </si>
  <si>
    <t>Iout Max</t>
  </si>
  <si>
    <t>Efficiency @ Vmax (24 V) &amp; Imax</t>
  </si>
  <si>
    <t>Efficiency @ Vmin (12 V) &amp; Imax</t>
  </si>
  <si>
    <t>Components</t>
  </si>
  <si>
    <t>RTON</t>
  </si>
  <si>
    <t>CVIN</t>
  </si>
  <si>
    <t>CLDO</t>
  </si>
  <si>
    <t>RPOK</t>
  </si>
  <si>
    <t>CSS</t>
  </si>
  <si>
    <t>CBOOT</t>
  </si>
  <si>
    <t>RFB1</t>
  </si>
  <si>
    <t>RFB2</t>
  </si>
  <si>
    <t>Coption</t>
  </si>
  <si>
    <t>Cvout</t>
  </si>
  <si>
    <t>L</t>
  </si>
  <si>
    <t>From LDO</t>
  </si>
  <si>
    <t>1.6k</t>
  </si>
  <si>
    <t>10nF</t>
  </si>
  <si>
    <t>2.2nF</t>
  </si>
  <si>
    <t>20uF</t>
  </si>
  <si>
    <t>Vdrop (Max Vin)</t>
  </si>
  <si>
    <t>Vdrop (min Vin)</t>
  </si>
  <si>
    <t xml:space="preserve">Fsw </t>
  </si>
  <si>
    <t>Ton (Max)</t>
  </si>
  <si>
    <t>Rton (Max)</t>
  </si>
  <si>
    <t>Rton</t>
  </si>
  <si>
    <t>Max Duty Cycle</t>
  </si>
  <si>
    <t>Ripple Current</t>
  </si>
  <si>
    <t xml:space="preserve">Max current </t>
  </si>
  <si>
    <t>Ripple Voltage</t>
  </si>
  <si>
    <t>Resr for Cout</t>
  </si>
  <si>
    <t>f0</t>
  </si>
  <si>
    <t>Cout</t>
  </si>
  <si>
    <t>Input Ripple Voltage</t>
  </si>
  <si>
    <t>AP6503</t>
  </si>
  <si>
    <t>C1 (uF)</t>
  </si>
  <si>
    <t>C2 (uF)</t>
  </si>
  <si>
    <t>C3 (nF)</t>
  </si>
  <si>
    <t>C4 (uF)</t>
  </si>
  <si>
    <t>C5 (nF)</t>
  </si>
  <si>
    <t>R1 (kΩ)</t>
  </si>
  <si>
    <t>R2 (kΩ)</t>
  </si>
  <si>
    <t>R3 (kΩ)</t>
  </si>
  <si>
    <t>L1 (uH)</t>
  </si>
  <si>
    <t>Iout Max (A)</t>
  </si>
  <si>
    <t>Vin Min</t>
  </si>
  <si>
    <t>Inductor current Rating</t>
  </si>
  <si>
    <t xml:space="preserve">Vin Max </t>
  </si>
  <si>
    <t>DC Current Max Rating</t>
  </si>
  <si>
    <t>Cap Irms Rating</t>
  </si>
  <si>
    <t>ESR</t>
  </si>
  <si>
    <t>Vout ripple</t>
  </si>
  <si>
    <t>Voltage rating</t>
  </si>
  <si>
    <t>RGS2 (Ω)</t>
  </si>
  <si>
    <t>RG1 (Ω)</t>
  </si>
  <si>
    <t>RG2 (Ω)</t>
  </si>
  <si>
    <t>R1 (Ω)</t>
  </si>
  <si>
    <t>R2 (Ω)</t>
  </si>
  <si>
    <t>R4 (kΩ)</t>
  </si>
  <si>
    <t>R5 (Ω)</t>
  </si>
  <si>
    <t>R6 (kΩ)</t>
  </si>
  <si>
    <t>Rntc (kΩ)</t>
  </si>
  <si>
    <t>Vout:</t>
  </si>
  <si>
    <t>f osc:</t>
  </si>
  <si>
    <t>Vin:</t>
  </si>
  <si>
    <t>Max L Current:</t>
  </si>
  <si>
    <t>ripple:</t>
  </si>
  <si>
    <t>C4 (nF)</t>
  </si>
  <si>
    <t>C6</t>
  </si>
  <si>
    <t>C7 (uF)</t>
  </si>
  <si>
    <t>C8 (uF)</t>
  </si>
  <si>
    <t>C9 (uF)</t>
  </si>
  <si>
    <t>C10 (uF)</t>
  </si>
  <si>
    <t>Ctmr (uF)</t>
  </si>
  <si>
    <t>N/A</t>
  </si>
  <si>
    <t>MOSFETs</t>
  </si>
  <si>
    <t>M1, M2, M3</t>
  </si>
  <si>
    <t xml:space="preserve">Search: </t>
  </si>
  <si>
    <t>Name</t>
  </si>
  <si>
    <t>Price per units for 100 units</t>
  </si>
  <si>
    <t>Rds_on @-20V or @~2A (Ω)</t>
  </si>
  <si>
    <t>Max Vgs (±V)</t>
  </si>
  <si>
    <t>Max Vds (V)</t>
  </si>
  <si>
    <t>Max Id (A)</t>
  </si>
  <si>
    <t>Package</t>
  </si>
  <si>
    <t>Datasheet</t>
  </si>
  <si>
    <t>Additional Information</t>
  </si>
  <si>
    <t>DMP3056L-7</t>
  </si>
  <si>
    <t>SOT-23</t>
  </si>
  <si>
    <t>DMG4435SSS</t>
  </si>
  <si>
    <t>8-SOP</t>
  </si>
  <si>
    <t>FDC610PZ</t>
  </si>
  <si>
    <t>SuperSOT™-6</t>
  </si>
  <si>
    <t>DMP3050LVT-7</t>
  </si>
  <si>
    <t>TSOT-26</t>
  </si>
  <si>
    <t xml:space="preserve">Vin </t>
  </si>
  <si>
    <t xml:space="preserve">Vout </t>
  </si>
  <si>
    <t>Vdrop</t>
  </si>
  <si>
    <t>R42:</t>
  </si>
  <si>
    <t>R41: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</si>
</sst>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FF"/>
      <name val="Slack-Lato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11" fontId="1" fillId="0" borderId="0" xfId="0" applyNumberFormat="1" applyFont="1"/>
    <xf numFmtId="0" fontId="4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2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ua Yoon" id="{5E758280-A6BB-409E-98D5-9CFF2B27B917}" userId="S::joshuay@nvidia.com::7392a027-7e69-442c-aa06-13604ebd46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1-07-08T08:21:13.35" personId="{5E758280-A6BB-409E-98D5-9CFF2B27B917}" id="{FBD5838D-A0D9-401A-A66C-0780F581C657}">
    <text>30% of charging current of 1.5A?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98AC-ED04-4EFF-B435-2D1927796DFE}">
  <dimension ref="A1:P27"/>
  <sheetViews>
    <sheetView topLeftCell="A7" zoomScale="130" zoomScaleNormal="130" workbookViewId="0">
      <selection activeCell="D14" sqref="D14"/>
    </sheetView>
  </sheetViews>
  <sheetFormatPr defaultRowHeight="14.4"/>
  <cols>
    <col min="3" max="3" width="12.109375" bestFit="1" customWidth="1"/>
  </cols>
  <sheetData>
    <row r="1" spans="1:16">
      <c r="A1" s="1" t="s">
        <v>0</v>
      </c>
      <c r="B1" s="2"/>
      <c r="D1" s="1" t="s">
        <v>1</v>
      </c>
      <c r="L1" t="s">
        <v>103</v>
      </c>
      <c r="M1" t="s">
        <v>100</v>
      </c>
      <c r="N1" t="s">
        <v>101</v>
      </c>
      <c r="O1" t="s">
        <v>102</v>
      </c>
      <c r="P1" t="s">
        <v>4</v>
      </c>
    </row>
    <row r="2" spans="1:16">
      <c r="A2" s="1" t="s">
        <v>2</v>
      </c>
      <c r="B2" s="1">
        <v>20</v>
      </c>
      <c r="L2">
        <v>8750</v>
      </c>
      <c r="M2">
        <v>12</v>
      </c>
      <c r="N2">
        <v>5</v>
      </c>
      <c r="O2">
        <f>(-0.03)*(1- (8/9) * ((M2-N2)/(M2-1.2)) * (1.2/N2) )*((M2-1.2)/10.8)-0.005</f>
        <v>-3.0851851851851853E-2</v>
      </c>
    </row>
    <row r="3" spans="1:16">
      <c r="A3" s="1" t="s">
        <v>3</v>
      </c>
      <c r="B3" s="1">
        <v>12</v>
      </c>
      <c r="C3" s="1" t="s">
        <v>4</v>
      </c>
      <c r="D3" s="1">
        <v>5</v>
      </c>
      <c r="L3" t="s">
        <v>104</v>
      </c>
      <c r="M3">
        <v>15</v>
      </c>
      <c r="N3">
        <v>5</v>
      </c>
      <c r="O3">
        <f t="shared" ref="O3:O4" si="0">(-0.03)*(1- (8/9) * ((M3-N3)/(M3-1.2)) * (1.2/N3) )*((M3-1.2)/10.8)-0.005</f>
        <v>-3.7407407407407403E-2</v>
      </c>
    </row>
    <row r="4" spans="1:16">
      <c r="A4" s="1" t="s">
        <v>5</v>
      </c>
      <c r="B4" s="1">
        <v>4.5</v>
      </c>
      <c r="C4" s="1" t="s">
        <v>6</v>
      </c>
      <c r="D4" s="1">
        <v>83</v>
      </c>
      <c r="E4" s="1" t="s">
        <v>7</v>
      </c>
      <c r="F4" s="1">
        <v>90</v>
      </c>
      <c r="L4">
        <v>14630</v>
      </c>
      <c r="M4">
        <v>19</v>
      </c>
      <c r="N4">
        <v>5</v>
      </c>
      <c r="O4">
        <f t="shared" si="0"/>
        <v>-4.6148148148148146E-2</v>
      </c>
    </row>
    <row r="6" spans="1:16">
      <c r="A6" s="1" t="s">
        <v>8</v>
      </c>
    </row>
    <row r="7" spans="1:16">
      <c r="A7" s="1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16</v>
      </c>
      <c r="I7" s="1" t="s">
        <v>17</v>
      </c>
      <c r="J7" s="1" t="s">
        <v>18</v>
      </c>
      <c r="K7" s="1" t="s">
        <v>19</v>
      </c>
    </row>
    <row r="8" spans="1:16">
      <c r="B8" s="3">
        <v>2.1999999999999999E-5</v>
      </c>
      <c r="C8" s="1" t="s">
        <v>20</v>
      </c>
      <c r="D8" s="1" t="s">
        <v>21</v>
      </c>
      <c r="E8" s="1" t="s">
        <v>22</v>
      </c>
      <c r="F8" s="1" t="s">
        <v>23</v>
      </c>
      <c r="G8" s="1">
        <f>H8*((D3/(0.8+B10))-1)</f>
        <v>38432.815964523281</v>
      </c>
      <c r="H8" s="1">
        <v>6800</v>
      </c>
      <c r="J8" s="1" t="s">
        <v>24</v>
      </c>
      <c r="K8" s="1">
        <f>(3/(B4*B13))*(((B2-D3)*D3)/(B2))</f>
        <v>4.166666666666666E-6</v>
      </c>
    </row>
    <row r="9" spans="1:16">
      <c r="G9" s="1">
        <f>H8*((D3/(0.8+B11))-1)</f>
        <v>37404.747917368906</v>
      </c>
    </row>
    <row r="10" spans="1:16">
      <c r="A10" s="1" t="s">
        <v>25</v>
      </c>
      <c r="B10" s="1">
        <f>(-0.03)*(1-(8/9)*((B2-D3)/(B2-1.2))*(1.2/D3))*((B2-1.2)/10.8)-0.005</f>
        <v>-4.8333333333333325E-2</v>
      </c>
      <c r="G10" s="1"/>
    </row>
    <row r="11" spans="1:16">
      <c r="A11" s="1" t="s">
        <v>26</v>
      </c>
      <c r="B11" s="1">
        <f>(-0.03)*(1-(8/9)*((B3-D3)/(B3-1.2))*(1.2/D3))*((B3-1.2)/10.8)-0.005</f>
        <v>-3.0851851851851853E-2</v>
      </c>
    </row>
    <row r="13" spans="1:16">
      <c r="A13" s="1" t="s">
        <v>27</v>
      </c>
      <c r="B13" s="1">
        <v>600000</v>
      </c>
    </row>
    <row r="14" spans="1:16">
      <c r="A14" s="1" t="s">
        <v>28</v>
      </c>
      <c r="B14" s="1">
        <f>(1/B13)*(D3/B3)</f>
        <v>6.9444444444444448E-7</v>
      </c>
      <c r="C14">
        <v>1300000</v>
      </c>
    </row>
    <row r="15" spans="1:16">
      <c r="A15" s="1" t="s">
        <v>29</v>
      </c>
      <c r="B15" s="1">
        <f>(B2-0.8)*750000-100000</f>
        <v>14300000</v>
      </c>
      <c r="C15">
        <f>(0.0000000000144*C14+0.00000144) / (B2)</f>
        <v>1.0079999999999999E-6</v>
      </c>
    </row>
    <row r="16" spans="1:16">
      <c r="A16" s="1" t="s">
        <v>30</v>
      </c>
      <c r="B16" s="1">
        <f>(((B2-0.8)*B14)-(0.00000144))/(0.0000000000144)</f>
        <v>825925.92592592596</v>
      </c>
      <c r="C16">
        <f>D3/(B2*C15)</f>
        <v>248015.87301587305</v>
      </c>
    </row>
    <row r="18" spans="1:4">
      <c r="A18" s="1" t="s">
        <v>31</v>
      </c>
      <c r="B18" s="1">
        <f>D3/(B2*(D4/100))</f>
        <v>0.30120481927710846</v>
      </c>
    </row>
    <row r="19" spans="1:4">
      <c r="A19" s="1" t="s">
        <v>32</v>
      </c>
      <c r="B19" s="1">
        <f>((B2-D3)*B18)/(B13*K8)</f>
        <v>1.8072289156626511</v>
      </c>
      <c r="C19" s="1">
        <f>B4*0.3</f>
        <v>1.3499999999999999</v>
      </c>
      <c r="D19">
        <f>((B2-D3)*D3)/(2*K8*B2*C16)</f>
        <v>1.8144</v>
      </c>
    </row>
    <row r="20" spans="1:4">
      <c r="A20" s="1" t="s">
        <v>33</v>
      </c>
      <c r="B20" s="1">
        <f>B4+(B19/2)</f>
        <v>5.4036144578313259</v>
      </c>
    </row>
    <row r="22" spans="1:4">
      <c r="A22" s="1" t="s">
        <v>34</v>
      </c>
      <c r="B22" s="1">
        <f>(D3/0.8)*0.015</f>
        <v>9.375E-2</v>
      </c>
    </row>
    <row r="23" spans="1:4">
      <c r="A23" s="1" t="s">
        <v>35</v>
      </c>
      <c r="B23" s="1">
        <f>(D3/B4)*0.075</f>
        <v>8.3333333333333329E-2</v>
      </c>
    </row>
    <row r="24" spans="1:4">
      <c r="A24" s="1" t="s">
        <v>36</v>
      </c>
      <c r="B24" s="1">
        <f>1/(2*PI()*B23*B25)</f>
        <v>150000</v>
      </c>
    </row>
    <row r="25" spans="1:4">
      <c r="A25" s="1" t="s">
        <v>37</v>
      </c>
      <c r="B25" s="1">
        <f>4/B13/2/PI()/B23</f>
        <v>1.2732395447351628E-5</v>
      </c>
      <c r="C25" s="1">
        <f>B19/(8*B13*B22)</f>
        <v>4.0160642570281137E-6</v>
      </c>
    </row>
    <row r="27" spans="1:4">
      <c r="A27" s="1" t="s">
        <v>38</v>
      </c>
      <c r="B27" s="3">
        <f>((1-(D3/B2))*B4*B2)/(B8*B13*B2)+(1-(D3/B2))*B4*B23</f>
        <v>0.53693181818181812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21A0-744A-42EE-847B-44EDEDF1C785}">
  <dimension ref="A1:I15"/>
  <sheetViews>
    <sheetView zoomScale="130" zoomScaleNormal="130" workbookViewId="0">
      <selection activeCell="C14" sqref="C14"/>
    </sheetView>
  </sheetViews>
  <sheetFormatPr defaultRowHeight="14.4"/>
  <cols>
    <col min="1" max="1" width="20.5546875" bestFit="1" customWidth="1"/>
  </cols>
  <sheetData>
    <row r="1" spans="1:9">
      <c r="A1" s="1" t="s">
        <v>39</v>
      </c>
      <c r="B1" s="4"/>
    </row>
    <row r="3" spans="1:9">
      <c r="A3" s="1" t="s">
        <v>8</v>
      </c>
    </row>
    <row r="4" spans="1:9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</row>
    <row r="5" spans="1:9">
      <c r="A5" s="1">
        <v>22</v>
      </c>
      <c r="B5" s="1">
        <v>47</v>
      </c>
      <c r="C5" s="1">
        <v>6.8</v>
      </c>
      <c r="D5" s="1">
        <v>0.1</v>
      </c>
      <c r="E5" s="1">
        <v>10</v>
      </c>
      <c r="F5" s="1">
        <v>26.1</v>
      </c>
      <c r="G5" s="1">
        <v>10</v>
      </c>
      <c r="H5" s="1">
        <v>6.8</v>
      </c>
      <c r="I5" s="1">
        <v>10</v>
      </c>
    </row>
    <row r="7" spans="1:9">
      <c r="A7" s="1" t="s">
        <v>49</v>
      </c>
      <c r="B7" s="1">
        <v>0.52</v>
      </c>
      <c r="D7" s="1" t="s">
        <v>4</v>
      </c>
      <c r="E7" s="1">
        <v>3.3</v>
      </c>
    </row>
    <row r="8" spans="1:9">
      <c r="A8" s="1" t="s">
        <v>32</v>
      </c>
      <c r="B8" s="1">
        <f>0.3*B7</f>
        <v>0.156</v>
      </c>
      <c r="D8" s="1" t="s">
        <v>50</v>
      </c>
      <c r="E8" s="1">
        <v>12</v>
      </c>
    </row>
    <row r="9" spans="1:9">
      <c r="A9" s="1" t="s">
        <v>51</v>
      </c>
      <c r="B9" s="1">
        <f>B7+B8/2</f>
        <v>0.59799999999999998</v>
      </c>
      <c r="D9" s="1" t="s">
        <v>52</v>
      </c>
      <c r="E9" s="1">
        <v>20</v>
      </c>
    </row>
    <row r="10" spans="1:9">
      <c r="A10" s="1" t="s">
        <v>53</v>
      </c>
      <c r="B10" s="1">
        <f>B7*1.25</f>
        <v>0.65</v>
      </c>
    </row>
    <row r="12" spans="1:9">
      <c r="A12" s="1" t="s">
        <v>54</v>
      </c>
      <c r="B12" s="1">
        <f>B7/2</f>
        <v>0.26</v>
      </c>
    </row>
    <row r="13" spans="1:9">
      <c r="A13" s="1" t="s">
        <v>55</v>
      </c>
      <c r="B13" s="1">
        <f>0.1/B8</f>
        <v>0.64102564102564108</v>
      </c>
    </row>
    <row r="14" spans="1:9">
      <c r="A14" s="1" t="s">
        <v>56</v>
      </c>
      <c r="B14" s="1">
        <v>0.1</v>
      </c>
    </row>
    <row r="15" spans="1:9">
      <c r="A15" s="1" t="s">
        <v>57</v>
      </c>
      <c r="B15" s="1">
        <f>E7+B14/2</f>
        <v>3.3499999999999996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C691-8AB3-486A-9C15-3B818CF0C0CC}">
  <dimension ref="A2:K23"/>
  <sheetViews>
    <sheetView tabSelected="1" zoomScale="115" zoomScaleNormal="115" workbookViewId="0">
      <selection activeCell="H19" sqref="H19"/>
    </sheetView>
  </sheetViews>
  <sheetFormatPr defaultRowHeight="14.4"/>
  <cols>
    <col min="2" max="2" width="12.33203125" bestFit="1" customWidth="1"/>
    <col min="8" max="8" width="24.6640625" customWidth="1"/>
  </cols>
  <sheetData>
    <row r="2" spans="1:11">
      <c r="A2" s="1" t="s">
        <v>58</v>
      </c>
      <c r="B2" s="1" t="s">
        <v>19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47</v>
      </c>
      <c r="H2" s="1" t="s">
        <v>63</v>
      </c>
      <c r="I2" s="1" t="s">
        <v>64</v>
      </c>
      <c r="J2" s="1" t="s">
        <v>65</v>
      </c>
      <c r="K2" s="1" t="s">
        <v>66</v>
      </c>
    </row>
    <row r="3" spans="1:11">
      <c r="A3" s="1">
        <v>402</v>
      </c>
      <c r="B3" s="3">
        <v>9.5300000000000002E-6</v>
      </c>
      <c r="C3" s="1">
        <v>50</v>
      </c>
      <c r="D3" s="1">
        <v>50</v>
      </c>
      <c r="E3" s="1">
        <v>510</v>
      </c>
      <c r="F3" s="1">
        <v>510</v>
      </c>
      <c r="G3" s="1">
        <v>9.6300000000000008</v>
      </c>
      <c r="H3" s="1">
        <v>2.7</v>
      </c>
      <c r="I3" s="1">
        <v>750</v>
      </c>
      <c r="J3" s="1">
        <v>505</v>
      </c>
      <c r="K3" s="1">
        <v>10</v>
      </c>
    </row>
    <row r="4" spans="1:11">
      <c r="B4">
        <f>(B7*(B9-B7))/(B9*B11*C7)</f>
        <v>9.5333333333333341E-6</v>
      </c>
    </row>
    <row r="6" spans="1:11">
      <c r="B6" s="1" t="s">
        <v>67</v>
      </c>
      <c r="C6" s="1" t="s">
        <v>68</v>
      </c>
    </row>
    <row r="7" spans="1:11">
      <c r="B7" s="1">
        <v>11.7</v>
      </c>
      <c r="C7" s="1">
        <v>600000</v>
      </c>
    </row>
    <row r="8" spans="1:11">
      <c r="B8" s="1" t="s">
        <v>69</v>
      </c>
      <c r="C8" s="1" t="s">
        <v>70</v>
      </c>
    </row>
    <row r="9" spans="1:11">
      <c r="B9" s="1">
        <v>15</v>
      </c>
      <c r="C9" s="1">
        <v>1.7250000000000001</v>
      </c>
    </row>
    <row r="10" spans="1:11">
      <c r="B10" s="1" t="s">
        <v>71</v>
      </c>
    </row>
    <row r="11" spans="1:11">
      <c r="B11" s="1">
        <v>0.45</v>
      </c>
    </row>
    <row r="14" spans="1:11">
      <c r="A14" s="1" t="s">
        <v>72</v>
      </c>
      <c r="B14" s="1" t="s">
        <v>44</v>
      </c>
      <c r="C14" s="1" t="s">
        <v>73</v>
      </c>
      <c r="D14" s="1" t="s">
        <v>74</v>
      </c>
      <c r="E14" s="1" t="s">
        <v>75</v>
      </c>
      <c r="F14" s="1" t="s">
        <v>76</v>
      </c>
      <c r="G14" s="1" t="s">
        <v>77</v>
      </c>
      <c r="H14" s="1" t="s">
        <v>78</v>
      </c>
    </row>
    <row r="15" spans="1:11">
      <c r="A15" s="1">
        <v>2.2000000000000002</v>
      </c>
      <c r="B15" s="1">
        <v>2.2000000000000002</v>
      </c>
      <c r="C15" s="1" t="s">
        <v>79</v>
      </c>
      <c r="D15" s="1">
        <v>0.1</v>
      </c>
      <c r="E15" s="1">
        <v>22</v>
      </c>
      <c r="F15" s="1">
        <v>22</v>
      </c>
      <c r="G15" s="1">
        <v>10</v>
      </c>
      <c r="H15" s="1">
        <v>0.1</v>
      </c>
    </row>
    <row r="18" spans="1:9">
      <c r="A18" s="5" t="s">
        <v>80</v>
      </c>
      <c r="B18" s="5" t="s">
        <v>81</v>
      </c>
      <c r="C18" s="1" t="s">
        <v>82</v>
      </c>
      <c r="D18" s="4"/>
    </row>
    <row r="19" spans="1:9">
      <c r="A19" s="6" t="s">
        <v>83</v>
      </c>
      <c r="B19" s="6" t="s">
        <v>84</v>
      </c>
      <c r="C19" s="6" t="s">
        <v>85</v>
      </c>
      <c r="D19" s="6" t="s">
        <v>86</v>
      </c>
      <c r="E19" s="6" t="s">
        <v>87</v>
      </c>
      <c r="F19" s="6" t="s">
        <v>88</v>
      </c>
      <c r="G19" s="6" t="s">
        <v>89</v>
      </c>
      <c r="H19" s="6" t="s">
        <v>90</v>
      </c>
      <c r="I19" s="6" t="s">
        <v>91</v>
      </c>
    </row>
    <row r="20" spans="1:9">
      <c r="A20" s="1" t="s">
        <v>92</v>
      </c>
      <c r="B20" s="1">
        <v>0.18</v>
      </c>
      <c r="C20" s="1">
        <v>0.04</v>
      </c>
      <c r="D20" s="1">
        <v>25</v>
      </c>
      <c r="E20" s="1">
        <v>30</v>
      </c>
      <c r="F20" s="1">
        <v>4.3</v>
      </c>
      <c r="G20" s="7" t="s">
        <v>93</v>
      </c>
      <c r="H20" s="4"/>
    </row>
    <row r="21" spans="1:9">
      <c r="A21" s="1" t="s">
        <v>94</v>
      </c>
      <c r="B21" s="1">
        <v>0.34</v>
      </c>
      <c r="C21" s="1">
        <v>1.4999999999999999E-2</v>
      </c>
      <c r="D21" s="1">
        <v>25</v>
      </c>
      <c r="E21" s="1">
        <v>30</v>
      </c>
      <c r="F21" s="1">
        <v>7.3</v>
      </c>
      <c r="G21" s="8" t="s">
        <v>95</v>
      </c>
      <c r="H21" s="4"/>
      <c r="I21" s="4"/>
    </row>
    <row r="22" spans="1:9">
      <c r="A22" s="1" t="s">
        <v>96</v>
      </c>
      <c r="B22" s="1">
        <v>0.28599999999999998</v>
      </c>
      <c r="C22" s="1">
        <v>0.05</v>
      </c>
      <c r="D22" s="1">
        <v>25</v>
      </c>
      <c r="E22" s="1">
        <v>30</v>
      </c>
      <c r="F22" s="1">
        <v>4.9000000000000004</v>
      </c>
      <c r="G22" s="1" t="s">
        <v>97</v>
      </c>
      <c r="H22" s="4"/>
      <c r="I22" s="4"/>
    </row>
    <row r="23" spans="1:9">
      <c r="A23" s="1" t="s">
        <v>98</v>
      </c>
      <c r="B23" s="1">
        <v>0.23200000000000001</v>
      </c>
      <c r="C23" s="1">
        <v>3.5000000000000003E-2</v>
      </c>
      <c r="D23" s="1">
        <v>25</v>
      </c>
      <c r="E23" s="1">
        <v>30</v>
      </c>
      <c r="F23" s="1">
        <v>4.5</v>
      </c>
      <c r="G23" s="1" t="s">
        <v>99</v>
      </c>
      <c r="H23" s="4"/>
      <c r="I23" s="4"/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5V Buck Converter Calculations</vt:lpstr>
      <vt:lpstr>3.3V Buck ConverterCalculations</vt:lpstr>
      <vt:lpstr>Battery Charger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Yoon</dc:creator>
  <cp:lastModifiedBy>Joshua Yoon</cp:lastModifiedBy>
  <dcterms:created xsi:type="dcterms:W3CDTF">2020-08-21T06:50:09Z</dcterms:created>
  <dcterms:modified xsi:type="dcterms:W3CDTF">2021-08-19T17:43:53Z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joshuay@nvidia.com</vt:lpwstr>
  </property>
  <property fmtid="{D5CDD505-2E9C-101B-9397-08002B2CF9AE}" pid="5" name="MSIP_Label_6b558183-044c-4105-8d9c-cea02a2a3d86_SetDate">
    <vt:lpwstr>2020-08-21T06:50:14.6385470Z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