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3744738-CE90-4D9B-AB54-E579BCDCC3A8}" xr6:coauthVersionLast="46" xr6:coauthVersionMax="46"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76" i="13" l="1"/>
  <c r="AN175" i="13"/>
  <c r="AN174" i="13"/>
  <c r="AN173" i="13"/>
  <c r="AN172" i="13"/>
  <c r="AN171" i="13"/>
  <c r="AN170" i="13"/>
  <c r="AP169" i="13"/>
  <c r="AQ172" i="13" s="1"/>
  <c r="AN169" i="13"/>
  <c r="BD100" i="13"/>
  <c r="AZ113" i="13" s="1"/>
  <c r="BA100" i="13"/>
  <c r="AY107" i="13" s="1"/>
  <c r="AX113" i="13"/>
  <c r="AX112" i="13"/>
  <c r="AX111" i="13"/>
  <c r="AX110" i="13"/>
  <c r="AX109" i="13"/>
  <c r="AX108" i="13"/>
  <c r="AX107" i="13"/>
  <c r="AX106" i="13"/>
  <c r="AX105" i="13"/>
  <c r="AX104" i="13"/>
  <c r="AX103" i="13"/>
  <c r="AX102" i="13"/>
  <c r="L334" i="14"/>
  <c r="K334" i="14"/>
  <c r="N221" i="13"/>
  <c r="N220" i="13"/>
  <c r="N219" i="13"/>
  <c r="N218" i="13"/>
  <c r="N217" i="13"/>
  <c r="N216" i="13"/>
  <c r="M220" i="13"/>
  <c r="M219" i="13"/>
  <c r="M218" i="13"/>
  <c r="M217" i="13"/>
  <c r="M216" i="13"/>
  <c r="M221" i="13"/>
  <c r="K125" i="13"/>
  <c r="O124" i="13"/>
  <c r="P125" i="13" s="1"/>
  <c r="J125" i="13"/>
  <c r="AQ170" i="13" l="1"/>
  <c r="AQ171" i="13"/>
  <c r="AQ169" i="13"/>
  <c r="AQ175" i="13"/>
  <c r="AQ176" i="13"/>
  <c r="AQ174" i="13"/>
  <c r="AQ173" i="13"/>
  <c r="AY103" i="13"/>
  <c r="AY105" i="13"/>
  <c r="AY102" i="13"/>
  <c r="AY106" i="13"/>
  <c r="AY104" i="13"/>
  <c r="AY108" i="13"/>
  <c r="AY110" i="13"/>
  <c r="AY111" i="13"/>
  <c r="AY109" i="13"/>
  <c r="AY112" i="13"/>
  <c r="AY113" i="13"/>
  <c r="AZ104" i="13"/>
  <c r="AZ105" i="13"/>
  <c r="AZ102" i="13"/>
  <c r="AZ106" i="13"/>
  <c r="AZ103" i="13"/>
  <c r="AZ107" i="13"/>
  <c r="AZ108" i="13"/>
  <c r="AZ110" i="13"/>
  <c r="AZ109" i="13"/>
  <c r="AZ111" i="13"/>
  <c r="AZ112"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BA107" i="13" l="1"/>
  <c r="BA108" i="13"/>
  <c r="BA110" i="13"/>
  <c r="BA109" i="13"/>
  <c r="BA112" i="13"/>
  <c r="BA111" i="13"/>
  <c r="BA113" i="13"/>
  <c r="BA104" i="13"/>
  <c r="BA105" i="13"/>
  <c r="BA103" i="13"/>
  <c r="BA106" i="13"/>
  <c r="BA102" i="13"/>
  <c r="W736" i="14"/>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N222" i="13" l="1"/>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AR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R175" i="13" s="1"/>
  <c r="AC103" i="13"/>
  <c r="AA685"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AR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<sst xmlns="http://schemas.openxmlformats.org/spreadsheetml/2006/main" count="4225" uniqueCount="2499">
  <si>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</si>
  <si>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</si>
  <si>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</si>
  <si>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</si>
  <si>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</si>
  <si>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</si>
  <si>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</si>
  <si>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</si>
  <si>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</si>
  <si>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</si>
  <si>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</si>
  <si>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</si>
  <si>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</si>
  <si>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</si>
  <si>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</si>
  <si>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</si>
  <si>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</si>
  <si>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</si>
  <si>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</si>
  <si>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</si>
  <si>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</si>
  <si>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</si>
  <si>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</si>
  <si>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</si>
  <si>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</si>
  <si>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</si>
  <si>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</si>
  <si>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</si>
  <si>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</si>
  <si>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</si>
  <si>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</si>
  <si>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</si>
  <si>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</si>
  <si>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</si>
  <si>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</si>
  <si>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</si>
  <si>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</si>
  <si>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</si>
  <si>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</si>
  <si>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</si>
  <si>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</si>
  <si>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</si>
  <si>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</si>
  <si>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</si>
  <si>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</si>
  <si>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</si>
  <si>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</si>
  <si>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</si>
  <si>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</si>
  <si>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</si>
  <si>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</si>
  <si>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</si>
  <si>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</si>
  <si>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</si>
  <si>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</si>
  <si>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</si>
  <si>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</si>
  <si>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</si>
  <si>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</si>
  <si>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</si>
  <si>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</si>
  <si>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</si>
  <si>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</si>
  <si>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</si>
  <si>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</si>
  <si>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</si>
  <si>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</si>
  <si>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</si>
  <si>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</si>
  <si>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</si>
  <si>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</si>
  <si>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</si>
  <si>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</si>
  <si>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</si>
  <si>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</si>
  <si>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</si>
  <si>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</si>
  <si>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</si>
  <si>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</si>
  <si>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</si>
  <si>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</si>
  <si>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</si>
  <si>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</si>
  <si>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</si>
  <si>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</si>
  <si>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</si>
  <si>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</si>
  <si>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</si>
  <si>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</si>
  <si>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</si>
  <si>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</si>
  <si>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</si>
  <si>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</si>
  <si>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</si>
  <si>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</si>
  <si>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</si>
  <si>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</si>
  <si>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</si>
  <si>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</si>
  <si>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</si>
  <si>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</si>
  <si>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</si>
  <si>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</si>
  <si>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</si>
  <si>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</si>
  <si>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</si>
  <si>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</si>
  <si>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</si>
  <si>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</si>
  <si>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</si>
  <si>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</si>
  <si>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</si>
  <si>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</si>
  <si>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</si>
  <si>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</si>
  <si>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</si>
  <si>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</si>
  <si>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</si>
  <si>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</si>
  <si>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</si>
  <si>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</si>
  <si>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</si>
  <si>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</si>
  <si>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</si>
  <si>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</si>
  <si>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</si>
  <si>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</si>
  <si>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</si>
  <si>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</si>
  <si>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</si>
  <si>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</si>
  <si>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</si>
  <si>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</si>
  <si>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</si>
  <si>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</si>
  <si>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</si>
  <si>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</si>
  <si>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</si>
  <si>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</si>
  <si>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</si>
  <si>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</si>
  <si>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</si>
  <si>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</si>
  <si>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</si>
  <si>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</si>
  <si>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</si>
  <si>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</si>
  <si>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</si>
  <si>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</si>
  <si>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</si>
  <si>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</si>
  <si>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</si>
  <si>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</si>
  <si>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</si>
  <si>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</si>
  <si>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</si>
  <si>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</si>
  <si>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</si>
  <si>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</si>
  <si>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</si>
  <si>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</si>
  <si>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</si>
  <si>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</si>
  <si>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</si>
  <si>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</si>
  <si>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</si>
  <si>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</si>
  <si>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</si>
  <si>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</si>
  <si>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</si>
  <si>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</si>
  <si>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</si>
  <si>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</si>
  <si>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</si>
  <si>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</si>
  <si>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</si>
  <si>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</si>
  <si>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</si>
  <si>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</si>
  <si>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</si>
  <si>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</si>
  <si>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</si>
  <si>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</si>
  <si>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</si>
  <si>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</si>
  <si>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</si>
  <si>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</si>
  <si>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</si>
  <si>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</si>
  <si>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</si>
  <si>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</si>
  <si>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</si>
  <si>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</si>
  <si>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</si>
  <si>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</si>
  <si>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</si>
  <si>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</si>
  <si>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</si>
  <si>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</si>
  <si>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</si>
  <si>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</si>
  <si>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</si>
  <si>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</si>
  <si>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</si>
  <si>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</si>
  <si>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</si>
  <si>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</si>
  <si>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</si>
  <si>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</si>
  <si>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</si>
  <si>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</si>
  <si>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</si>
  <si>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</si>
  <si>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</si>
  <si>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</si>
  <si>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</si>
  <si>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</si>
  <si>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</si>
  <si>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</si>
  <si>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</si>
  <si>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</si>
  <si>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</si>
  <si>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</si>
  <si>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</si>
  <si>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</si>
  <si>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</si>
  <si>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</si>
  <si>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</si>
  <si>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</si>
  <si>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</si>
  <si>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</si>
  <si>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</si>
  <si>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</si>
  <si>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</si>
  <si>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</si>
  <si>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</si>
  <si>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</si>
  <si>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</si>
  <si>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</si>
  <si>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</si>
  <si>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</si>
  <si>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</si>
  <si>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</si>
  <si>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</si>
  <si>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</si>
  <si>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</si>
  <si>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</si>
  <si>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</si>
  <si>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</si>
  <si>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</si>
  <si>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</si>
  <si>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</si>
  <si>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</si>
  <si>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</si>
  <si>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</si>
  <si>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</si>
  <si>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</si>
  <si>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</si>
  <si>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</si>
  <si>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</si>
  <si>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</si>
  <si>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</si>
  <si>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</si>
  <si>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</si>
  <si>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</si>
  <si>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</si>
  <si>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</si>
  <si>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</si>
  <si>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</si>
  <si>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</si>
  <si>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</si>
  <si>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</si>
  <si>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</si>
  <si>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</si>
  <si>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</si>
  <si>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</si>
  <si>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</si>
  <si>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</si>
  <si>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</si>
  <si>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</si>
  <si>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</si>
  <si>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</si>
  <si>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</si>
  <si>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</si>
  <si>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</si>
  <si>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</si>
  <si>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</si>
  <si>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</si>
  <si>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</si>
  <si>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</si>
  <si>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</si>
  <si>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</si>
  <si>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</si>
  <si>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</si>
  <si>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</si>
  <si>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</si>
  <si>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</si>
  <si>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</si>
  <si>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</si>
  <si>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</si>
  <si>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</si>
  <si>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</si>
  <si>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</si>
  <si>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</si>
  <si>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</si>
  <si>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</si>
  <si>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</si>
  <si>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</si>
  <si>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</si>
  <si>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</si>
  <si>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</si>
  <si>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</si>
  <si>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</si>
  <si>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</si>
  <si>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</si>
  <si>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</si>
  <si>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</si>
  <si>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</si>
  <si>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</si>
  <si>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</si>
  <si>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</si>
  <si>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</si>
  <si>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</si>
  <si>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</si>
  <si>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</si>
  <si>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</si>
  <si>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</si>
  <si>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</si>
  <si>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</si>
  <si>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</si>
  <si>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</si>
  <si>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</si>
  <si>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</si>
  <si>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</si>
  <si>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</si>
  <si>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</si>
  <si>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</si>
  <si>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</si>
  <si>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</si>
  <si>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</si>
  <si>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</si>
  <si>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</si>
  <si>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</si>
  <si>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</si>
  <si>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</si>
  <si>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</si>
  <si>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</si>
  <si>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</si>
  <si>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</si>
  <si>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</si>
  <si>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</si>
  <si>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</si>
  <si>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</si>
  <si>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</si>
  <si>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</si>
  <si>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</si>
  <si>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</si>
  <si>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</si>
  <si>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</si>
  <si>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</si>
  <si>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</si>
  <si>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</si>
  <si>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</si>
  <si>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</si>
  <si>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</si>
  <si>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</si>
  <si>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</si>
  <si>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</si>
  <si>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</si>
  <si>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</si>
  <si>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</si>
  <si>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</si>
  <si>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</si>
  <si>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</si>
  <si>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</si>
  <si>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</si>
  <si>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</si>
  <si>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</si>
  <si>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</si>
  <si>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</si>
  <si>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</si>
  <si>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</si>
  <si>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</si>
  <si>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</si>
  <si>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</si>
  <si>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</si>
  <si>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</si>
  <si>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</si>
  <si>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</si>
  <si>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</si>
  <si>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</si>
  <si>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</si>
  <si>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</si>
  <si>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</si>
  <si>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</si>
  <si>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</si>
  <si>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</si>
  <si>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</si>
  <si>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</si>
  <si>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</si>
  <si>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</si>
  <si>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</si>
  <si>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</si>
  <si>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</si>
  <si>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</si>
  <si>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</si>
  <si>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</si>
  <si>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</si>
  <si>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</si>
  <si>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</si>
  <si>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</si>
  <si>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</si>
  <si>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</si>
  <si>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</si>
  <si>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</si>
  <si>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</si>
  <si>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</si>
  <si>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</si>
  <si>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</si>
  <si>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</si>
  <si>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</si>
  <si>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</si>
  <si>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</si>
  <si>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</si>
  <si>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</si>
  <si>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</si>
  <si>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</si>
  <si>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</si>
  <si>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</si>
  <si>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</si>
  <si>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</si>
  <si>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</si>
  <si>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</si>
  <si>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</si>
  <si>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</si>
  <si>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</si>
  <si>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</si>
  <si>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</si>
  <si>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</si>
  <si>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</si>
  <si>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</si>
  <si>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</si>
  <si>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</si>
  <si>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</si>
  <si>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</si>
  <si>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</si>
  <si>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</si>
  <si>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</si>
  <si>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</si>
  <si>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</si>
  <si>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</si>
  <si>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</si>
  <si>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</si>
  <si>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</si>
  <si>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</si>
  <si>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</si>
  <si>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</si>
  <si>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</si>
  <si>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</si>
  <si>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</si>
  <si>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</si>
  <si>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</si>
  <si>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</si>
  <si>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</si>
  <si>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</si>
  <si>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</si>
  <si>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</si>
  <si>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</si>
  <si>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</si>
  <si>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</si>
  <si>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</si>
  <si>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</si>
  <si>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</si>
  <si>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</si>
  <si>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</si>
  <si>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</si>
  <si>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</si>
  <si>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</si>
  <si>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</si>
  <si>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</si>
  <si>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</si>
  <si>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</si>
  <si>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</si>
  <si>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</si>
  <si>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</si>
  <si>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</si>
  <si>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</si>
  <si>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</si>
  <si>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</si>
  <si>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</si>
  <si>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</si>
  <si>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</si>
  <si>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</si>
  <si>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</si>
  <si>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</si>
  <si>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</si>
  <si>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</si>
  <si>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</si>
  <si>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</si>
  <si>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</si>
  <si>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</si>
  <si>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</si>
  <si>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</si>
  <si>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</si>
  <si>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</si>
  <si>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</si>
  <si>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</si>
  <si>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</si>
  <si>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</si>
  <si>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</si>
  <si>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</si>
  <si>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</si>
  <si>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</si>
  <si>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</si>
  <si>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</si>
  <si>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</si>
  <si>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</si>
  <si>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</si>
  <si>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</si>
  <si>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</si>
  <si>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</si>
  <si>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</si>
  <si>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</si>
  <si>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</si>
  <si>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</si>
  <si>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</si>
  <si>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</si>
  <si>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</si>
  <si>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</si>
  <si>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</si>
  <si>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</si>
  <si>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</si>
  <si>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</si>
  <si>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</si>
  <si>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</si>
  <si>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</si>
  <si>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</si>
  <si>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</si>
  <si>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</si>
  <si>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</si>
  <si>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</si>
  <si>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</si>
  <si>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</si>
  <si>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</si>
  <si>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</si>
  <si>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</si>
  <si>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</si>
  <si>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</si>
  <si>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</si>
  <si>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</si>
  <si>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</si>
  <si>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</si>
  <si>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</si>
  <si>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</si>
  <si>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</si>
  <si>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</si>
  <si>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</si>
  <si>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</si>
  <si>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</si>
  <si>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</si>
  <si>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</si>
  <si>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</si>
  <si>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</si>
  <si>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</si>
  <si>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</si>
  <si>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</si>
  <si>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</si>
  <si>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</si>
  <si>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</si>
  <si>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</si>
  <si>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</si>
  <si>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</si>
  <si>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</si>
  <si>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</si>
  <si>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</si>
  <si>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</si>
  <si>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</si>
  <si>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</si>
  <si>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</si>
  <si>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</si>
  <si>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</si>
  <si>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</si>
  <si>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</si>
  <si>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</si>
  <si>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</si>
  <si>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</si>
  <si>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</si>
  <si>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</si>
  <si>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</si>
  <si>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</si>
  <si>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</si>
  <si>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</si>
  <si>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</si>
  <si>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</si>
  <si>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</si>
  <si>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</si>
  <si>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</si>
  <si>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</si>
  <si>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</si>
  <si>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</si>
  <si>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</si>
  <si>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</si>
  <si>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</si>
  <si>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</si>
  <si>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</si>
  <si>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</si>
  <si>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</si>
  <si>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</si>
  <si>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</si>
  <si>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</si>
  <si>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</si>
  <si>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</si>
  <si>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</si>
  <si>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</si>
  <si>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</si>
  <si>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</si>
  <si>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</si>
  <si>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</si>
  <si>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</si>
  <si>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</si>
  <si>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</si>
  <si>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</si>
  <si>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</si>
  <si>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</si>
  <si>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</si>
  <si>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</si>
  <si>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</si>
  <si>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</si>
  <si>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</si>
  <si>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</si>
  <si>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</si>
  <si>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</si>
  <si>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</si>
  <si>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</si>
  <si>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</si>
  <si>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</si>
  <si>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</si>
  <si>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</si>
  <si>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</si>
  <si>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</si>
  <si>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</si>
  <si>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</si>
  <si>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</si>
  <si>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</si>
  <si>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</si>
  <si>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</si>
  <si>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</si>
  <si>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</si>
  <si>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</si>
  <si>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</si>
  <si>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</si>
  <si>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</si>
  <si>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</si>
  <si>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</si>
  <si>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</si>
  <si>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</si>
  <si>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</si>
  <si>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</si>
  <si>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</si>
  <si>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</si>
  <si>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</si>
  <si>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</si>
  <si>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</si>
  <si>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</si>
  <si>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</si>
  <si>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</si>
  <si>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</si>
  <si>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</si>
  <si>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</si>
  <si>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</si>
  <si>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</si>
  <si>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</si>
  <si>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</si>
  <si>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</si>
  <si>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</si>
  <si>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</si>
  <si>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</si>
  <si>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</si>
  <si>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</si>
  <si>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</si>
  <si>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</si>
  <si>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</si>
  <si>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</si>
  <si>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</si>
  <si>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</si>
  <si>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</si>
  <si>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</si>
  <si>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</si>
  <si>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</si>
  <si>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</si>
  <si>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</si>
  <si>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</si>
  <si>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</si>
  <si>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</si>
  <si>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</si>
  <si>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</si>
  <si>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</si>
  <si>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</si>
  <si>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</si>
  <si>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</si>
  <si>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</si>
  <si>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</si>
  <si>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</si>
  <si>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</si>
  <si>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</si>
  <si>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</si>
  <si>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</si>
  <si>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</si>
  <si>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</si>
  <si>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</si>
  <si>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</si>
  <si>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</si>
  <si>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</si>
  <si>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</si>
  <si>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</si>
  <si>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</si>
  <si>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</si>
  <si>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</si>
  <si>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</si>
  <si>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</si>
  <si>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</si>
  <si>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</si>
  <si>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</si>
  <si>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</si>
  <si>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</si>
  <si>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</si>
  <si>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</si>
  <si>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</si>
  <si>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</si>
  <si>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</si>
  <si>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</si>
  <si>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</si>
  <si>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</si>
  <si>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</si>
  <si>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</si>
  <si>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</si>
  <si>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</si>
  <si>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</si>
  <si>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</si>
  <si>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</si>
  <si>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</si>
  <si>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</si>
  <si>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</si>
  <si>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</si>
  <si>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</si>
  <si>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</si>
  <si>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</si>
  <si>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</si>
  <si>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</si>
  <si>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</si>
  <si>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</si>
  <si>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</si>
  <si>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</si>
  <si>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</si>
  <si>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</si>
  <si>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</si>
  <si>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</si>
  <si>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</si>
  <si>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</si>
  <si>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</si>
  <si>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</si>
  <si>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</si>
  <si>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</si>
  <si>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</si>
  <si>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</si>
  <si>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</si>
  <si>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</si>
  <si>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</si>
  <si>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</si>
  <si>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</si>
  <si>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</si>
  <si>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</si>
  <si>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</si>
  <si>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</si>
  <si>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</si>
  <si>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</si>
  <si>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</si>
  <si>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</si>
  <si>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</si>
  <si>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</si>
  <si>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</si>
  <si>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</si>
  <si>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</si>
  <si>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</si>
  <si>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</si>
  <si>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</si>
  <si>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</si>
  <si>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</si>
  <si>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</si>
  <si>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</si>
  <si>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</si>
  <si>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</si>
  <si>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</si>
  <si>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</si>
  <si>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</si>
  <si>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</si>
  <si>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</si>
  <si>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</si>
  <si>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</si>
  <si>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</si>
  <si>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</si>
  <si>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</si>
  <si>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</si>
  <si>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</si>
  <si>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</si>
  <si>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</si>
  <si>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</si>
  <si>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</si>
  <si>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</si>
  <si>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</si>
  <si>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</si>
  <si>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</si>
  <si>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</si>
  <si>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</si>
  <si>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</si>
  <si>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</si>
  <si>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</si>
  <si>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</si>
  <si>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</si>
  <si>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</si>
  <si>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</si>
  <si>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</si>
  <si>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</si>
  <si>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</si>
  <si>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</si>
  <si>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</si>
  <si>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</si>
  <si>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</si>
  <si>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</si>
  <si>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</si>
  <si>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</si>
  <si>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</si>
  <si>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</si>
  <si>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</si>
  <si>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</si>
  <si>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</si>
  <si>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</si>
  <si>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</si>
  <si>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</si>
  <si>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</si>
  <si>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</si>
  <si>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</si>
  <si>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</si>
  <si>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</si>
  <si>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</si>
  <si>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</si>
  <si>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</si>
  <si>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</si>
  <si>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</si>
  <si>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</si>
  <si>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</si>
  <si>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</si>
  <si>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</si>
  <si>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</si>
  <si>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</si>
  <si>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</si>
  <si>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</si>
  <si>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</si>
  <si>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</si>
  <si>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</si>
  <si>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</si>
  <si>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</si>
  <si>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</si>
  <si>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</si>
  <si>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</si>
  <si>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</si>
  <si>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</si>
  <si>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</si>
  <si>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</si>
  <si>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</si>
  <si>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</si>
  <si>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</si>
  <si>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</si>
  <si>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</si>
  <si>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</si>
  <si>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</si>
  <si>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</si>
  <si>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</si>
  <si>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</si>
  <si>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</si>
  <si>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</si>
  <si>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</si>
  <si>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</si>
  <si>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</si>
  <si>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</si>
  <si>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</si>
  <si>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</si>
  <si>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</si>
  <si>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</si>
  <si>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</si>
  <si>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</si>
  <si>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</si>
  <si>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</si>
  <si>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</si>
  <si>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</si>
  <si>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</si>
  <si>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</si>
  <si>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</si>
  <si>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</si>
  <si>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</si>
  <si>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</si>
  <si>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</si>
  <si>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</si>
  <si>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</si>
  <si>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</si>
  <si>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</si>
  <si>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</si>
  <si>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</si>
  <si>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</si>
  <si>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</si>
  <si>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</si>
  <si>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</si>
  <si>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</si>
  <si>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</si>
  <si>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</si>
  <si>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</si>
  <si>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</si>
  <si>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</si>
  <si>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</si>
  <si>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</si>
  <si>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</si>
  <si>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</si>
  <si>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</si>
  <si>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</si>
  <si>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</si>
  <si>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</si>
  <si>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</si>
  <si>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</si>
  <si>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</si>
  <si>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</si>
  <si>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</si>
  <si>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</si>
  <si>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</si>
  <si>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</si>
  <si>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</si>
  <si>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</si>
  <si>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</si>
  <si>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</si>
  <si>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</si>
  <si>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</si>
  <si>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</si>
  <si>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</si>
  <si>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</si>
  <si>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</si>
  <si>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</si>
  <si>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</si>
  <si>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</si>
  <si>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</si>
  <si>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</si>
  <si>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</si>
  <si>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</si>
  <si>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</si>
  <si>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</si>
  <si>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</si>
  <si>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</si>
  <si>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</si>
  <si>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</si>
  <si>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</si>
  <si>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</si>
  <si>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</si>
  <si>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</si>
  <si>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</si>
  <si>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</si>
  <si>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</si>
  <si>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</si>
  <si>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</si>
  <si>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</si>
  <si>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</si>
  <si>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</si>
  <si>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</si>
  <si>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</si>
  <si>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</si>
  <si>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</si>
  <si>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</si>
  <si>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</si>
  <si>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</si>
  <si>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</si>
  <si>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</si>
  <si>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</si>
  <si>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</si>
  <si>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</si>
  <si>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</si>
  <si>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</si>
  <si>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</si>
  <si>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</si>
  <si>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</si>
  <si>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</si>
  <si>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</si>
  <si>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</si>
  <si>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</si>
  <si>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</si>
  <si>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</si>
  <si>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</si>
  <si>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</si>
  <si>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</si>
  <si>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</si>
  <si>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</si>
  <si>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</si>
  <si>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</si>
  <si>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</si>
  <si>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</si>
  <si>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</si>
  <si>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</si>
  <si>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</si>
  <si>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</si>
  <si>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</si>
  <si>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</si>
  <si>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</si>
  <si>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</si>
  <si>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</si>
  <si>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</si>
  <si>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</si>
  <si>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</si>
  <si>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</si>
  <si>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</si>
  <si>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</si>
  <si>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</si>
  <si>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</si>
  <si>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</si>
  <si>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</si>
  <si>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</si>
  <si>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</si>
  <si>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</si>
  <si>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</si>
  <si>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</si>
  <si>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</si>
  <si>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</si>
  <si>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</si>
  <si>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</si>
  <si>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</si>
  <si>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</si>
  <si>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</si>
  <si>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</si>
  <si>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</si>
  <si>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</si>
  <si>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</si>
  <si>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</si>
  <si>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</si>
  <si>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</si>
  <si>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</si>
  <si>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</si>
  <si>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</si>
  <si>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</si>
  <si>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</si>
  <si>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</si>
  <si>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</si>
  <si>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</si>
  <si>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</si>
  <si>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</si>
  <si>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</si>
  <si>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</si>
  <si>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</si>
  <si>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</si>
  <si>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</si>
  <si>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</si>
  <si>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</si>
  <si>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</si>
  <si>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</si>
  <si>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</si>
  <si>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</si>
  <si>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</si>
  <si>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</si>
  <si>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</si>
  <si>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</si>
  <si>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</si>
  <si>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</si>
  <si>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</si>
  <si>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</si>
  <si>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</si>
  <si>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</si>
  <si>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</si>
  <si>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</si>
  <si>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</si>
  <si>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</si>
  <si>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</si>
  <si>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</si>
  <si>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</si>
  <si>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</si>
  <si>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</si>
  <si>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</si>
  <si>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</si>
  <si>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</si>
  <si>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</si>
  <si>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</si>
  <si>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</si>
  <si>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</si>
  <si>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</si>
  <si>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</si>
  <si>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</si>
  <si>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</si>
  <si>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</si>
  <si>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</si>
  <si>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</si>
  <si>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</si>
  <si>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</si>
  <si>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</si>
  <si>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</si>
  <si>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</si>
  <si>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</si>
  <si>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</si>
  <si>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</si>
  <si>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</si>
  <si>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</si>
  <si>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</si>
  <si>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</si>
  <si>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</si>
  <si>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</si>
  <si>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</si>
  <si>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</si>
  <si>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</si>
  <si>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</si>
  <si>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</si>
  <si>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</si>
  <si>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</si>
  <si>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</si>
  <si>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</si>
  <si>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</si>
  <si>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</si>
  <si>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</si>
  <si>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</si>
  <si>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</si>
  <si>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</si>
  <si>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</si>
  <si>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</si>
  <si>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</si>
  <si>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</si>
  <si>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</si>
  <si>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</si>
  <si>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</si>
  <si>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</si>
  <si>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</si>
  <si>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</si>
  <si>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</si>
  <si>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</si>
  <si>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</si>
  <si>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</si>
  <si>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</si>
  <si>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</si>
  <si>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</si>
  <si>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</si>
  <si>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</si>
  <si>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</si>
  <si>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</si>
  <si>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</si>
  <si>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</si>
  <si>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</si>
  <si>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</si>
  <si>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</si>
  <si>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</si>
  <si>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</si>
  <si>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</si>
  <si>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</si>
  <si>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</si>
  <si>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</si>
  <si>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</si>
  <si>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</si>
  <si>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</si>
  <si>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</si>
  <si>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</si>
  <si>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</si>
  <si>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</si>
  <si>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</si>
  <si>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</si>
  <si>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</si>
  <si>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</si>
  <si>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</si>
  <si>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</si>
  <si>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</si>
  <si>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</si>
  <si>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</si>
  <si>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</si>
  <si>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</si>
  <si>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</si>
  <si>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</si>
  <si>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</si>
  <si>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</si>
  <si>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</si>
  <si>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</si>
  <si>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</si>
  <si>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</si>
  <si>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</si>
  <si>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</si>
  <si>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</si>
  <si>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</si>
  <si>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</si>
  <si>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</si>
  <si>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</si>
  <si>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</si>
  <si>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</si>
  <si>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</si>
  <si>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</si>
  <si>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</si>
  <si>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</si>
  <si>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</si>
  <si>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</si>
  <si>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</si>
  <si>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</si>
  <si>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</si>
  <si>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</si>
  <si>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</si>
  <si>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</si>
  <si>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</si>
  <si>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</si>
  <si>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</si>
  <si>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</si>
  <si>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</si>
  <si>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</si>
  <si>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</si>
  <si>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</si>
  <si>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</si>
  <si>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</si>
  <si>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</si>
  <si>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</si>
  <si>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</si>
  <si>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</si>
  <si>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</si>
  <si>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</si>
  <si>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</si>
  <si>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</si>
  <si>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</si>
  <si>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</si>
  <si>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</si>
  <si>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</si>
  <si>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</si>
  <si>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</si>
  <si>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</si>
  <si>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</si>
  <si>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</si>
  <si>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</si>
  <si>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</si>
  <si>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</si>
  <si>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</si>
  <si>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</si>
  <si>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</si>
  <si>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</si>
  <si>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</si>
  <si>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</si>
  <si>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</si>
  <si>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</si>
  <si>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</si>
  <si>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</si>
  <si>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</si>
  <si>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</si>
  <si>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</si>
  <si>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</si>
  <si>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</si>
  <si>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</si>
  <si>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</si>
  <si>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</si>
  <si>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</si>
  <si>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</si>
  <si>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</si>
  <si>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</si>
  <si>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</si>
  <si>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</si>
  <si>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</si>
  <si>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</si>
  <si>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</si>
  <si>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</si>
  <si>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</si>
  <si>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</si>
  <si>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</si>
  <si>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</si>
  <si>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</si>
  <si>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</si>
  <si>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</si>
  <si>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</si>
  <si>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</si>
  <si>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</si>
  <si>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</si>
  <si>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</si>
  <si>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</si>
  <si>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</si>
  <si>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</si>
  <si>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</si>
  <si>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</si>
  <si>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</si>
  <si>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</si>
  <si>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</si>
  <si>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</si>
  <si>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</si>
  <si>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</si>
  <si>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</si>
  <si>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</si>
  <si>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</si>
  <si>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</si>
  <si>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</si>
  <si>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</si>
  <si>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</si>
  <si>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</si>
  <si>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</si>
  <si>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</si>
  <si>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</si>
  <si>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</si>
  <si>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</si>
  <si>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</si>
  <si>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</si>
  <si>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</si>
  <si>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</si>
  <si>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</si>
  <si>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</si>
  <si>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</si>
  <si>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</si>
  <si>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</si>
  <si>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</si>
  <si>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</si>
  <si>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</si>
  <si>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</si>
  <si>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</si>
  <si>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</si>
  <si>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</si>
  <si>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</si>
  <si>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</si>
  <si>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</si>
  <si>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</si>
  <si>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</si>
  <si>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</si>
  <si>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</si>
  <si>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</si>
  <si>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</si>
  <si>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</si>
  <si>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</si>
  <si>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</si>
  <si>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</si>
  <si>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</si>
  <si>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</si>
  <si>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</si>
  <si>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</si>
  <si>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</si>
  <si>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</si>
  <si>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</si>
  <si>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</si>
  <si>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</si>
  <si>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</si>
  <si>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</si>
  <si>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</si>
  <si>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</si>
  <si>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</si>
  <si>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</si>
  <si>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</si>
  <si>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</si>
  <si>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</si>
  <si>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</si>
  <si>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</si>
  <si>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</si>
  <si>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</si>
  <si>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</si>
  <si>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</si>
  <si>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</si>
  <si>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</si>
  <si>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</si>
  <si>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</si>
  <si>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</si>
  <si>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</si>
  <si>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</si>
  <si>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</si>
  <si>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</si>
  <si>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</si>
  <si>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</si>
  <si>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</si>
  <si>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</si>
  <si>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</si>
  <si>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</si>
  <si>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</si>
  <si>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</si>
  <si>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</si>
  <si>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</si>
  <si>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</si>
  <si>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</si>
  <si>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</si>
  <si>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</si>
  <si>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</si>
  <si>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</si>
  <si>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</si>
  <si>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</si>
  <si>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</si>
  <si>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</si>
  <si>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</si>
  <si>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</si>
  <si>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</si>
  <si>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</si>
  <si>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</si>
  <si>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</si>
  <si>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</si>
  <si>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</si>
  <si>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</si>
  <si>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</si>
  <si>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</si>
  <si>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</si>
  <si>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</si>
  <si>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</si>
  <si>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</si>
  <si>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</si>
  <si>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</si>
  <si>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</si>
  <si>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</si>
  <si>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</si>
  <si>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</si>
  <si>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</si>
  <si>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</si>
  <si>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</si>
  <si>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</si>
  <si>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</si>
  <si>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</si>
  <si>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</si>
  <si>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</si>
  <si>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</si>
  <si>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</si>
  <si>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</si>
  <si>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</si>
  <si>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</si>
  <si>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</si>
  <si>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</si>
  <si>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</si>
  <si>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</si>
  <si>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</si>
  <si>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</si>
  <si>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</si>
  <si>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</si>
  <si>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</si>
  <si>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</si>
  <si>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</si>
  <si>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</si>
  <si>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</si>
  <si>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</si>
  <si>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</si>
  <si>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</si>
  <si>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</si>
  <si>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</si>
  <si>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</si>
  <si>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</si>
  <si>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</si>
  <si>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</si>
  <si>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</si>
  <si>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</si>
  <si>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</si>
  <si>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</si>
  <si>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</si>
  <si>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</si>
  <si>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</si>
  <si>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</si>
  <si>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</si>
  <si>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</si>
  <si>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</si>
  <si>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</si>
  <si>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</si>
  <si>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</si>
  <si>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</si>
  <si>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</si>
  <si>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</si>
  <si>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</si>
  <si>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</si>
  <si>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</si>
  <si>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</si>
  <si>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</si>
  <si>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</si>
  <si>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</si>
  <si>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</si>
  <si>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</si>
  <si>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</si>
  <si>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</si>
  <si>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</si>
  <si>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</si>
  <si>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</si>
  <si>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</si>
  <si>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</si>
  <si>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</si>
  <si>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</si>
  <si>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</si>
  <si>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</si>
  <si>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</si>
  <si>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</si>
  <si>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</si>
  <si>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</si>
  <si>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</si>
  <si>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</si>
  <si>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</si>
  <si>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</si>
  <si>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</si>
  <si>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</si>
  <si>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</si>
  <si>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</si>
  <si>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</si>
  <si>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</si>
  <si>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</si>
  <si>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</si>
  <si>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</si>
  <si>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</si>
  <si>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</si>
  <si>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</si>
  <si>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</si>
  <si>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</si>
  <si>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</si>
  <si>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</si>
  <si>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</si>
  <si>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</si>
  <si>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</si>
  <si>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</si>
  <si>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</si>
  <si>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</si>
  <si>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</si>
  <si>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</si>
  <si>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</si>
  <si>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</si>
  <si>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</si>
  <si>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</si>
  <si>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</si>
  <si>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</si>
  <si>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</si>
  <si>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</si>
  <si>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</si>
  <si>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</si>
  <si>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</si>
  <si>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</si>
  <si>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</si>
  <si>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</si>
  <si>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</si>
  <si>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</si>
  <si>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</si>
  <si>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</si>
  <si>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</si>
  <si>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</si>
  <si>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</si>
  <si>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</si>
  <si>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</si>
  <si>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</si>
  <si>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</si>
  <si>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</si>
  <si>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</si>
  <si>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</si>
  <si>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</si>
  <si>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</si>
  <si>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</si>
  <si>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</si>
  <si>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</si>
  <si>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</si>
  <si>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</si>
  <si>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</si>
  <si>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</si>
  <si>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</si>
  <si>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</si>
  <si>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</si>
  <si>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</si>
  <si>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</si>
  <si>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</si>
  <si>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</si>
  <si>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</si>
  <si>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</si>
  <si>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</si>
  <si>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</si>
  <si>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</si>
  <si>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</si>
  <si>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</si>
  <si>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</si>
  <si>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</si>
  <si>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</si>
  <si>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</si>
  <si>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</si>
  <si>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</si>
  <si>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</si>
  <si>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</si>
  <si>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</si>
  <si>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</si>
  <si>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</si>
  <si>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</si>
  <si>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</si>
  <si>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</si>
  <si>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</si>
  <si>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</si>
  <si>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</si>
  <si>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</si>
  <si>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</si>
  <si>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</si>
  <si>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</si>
  <si>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</si>
  <si>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</si>
  <si>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</si>
  <si>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</si>
  <si>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</si>
  <si>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</si>
  <si>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</si>
  <si>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</si>
  <si>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</si>
  <si>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</si>
  <si>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</si>
  <si>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</si>
  <si>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</si>
  <si>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</si>
  <si>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</si>
  <si>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</si>
  <si>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</si>
  <si>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</si>
  <si>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</si>
  <si>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</si>
  <si>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</si>
  <si>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</si>
  <si>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</si>
  <si>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</si>
  <si>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</si>
  <si>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</si>
  <si>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</si>
  <si>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</si>
  <si>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</si>
  <si>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</si>
  <si>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</si>
  <si>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</si>
  <si>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</si>
  <si>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</si>
  <si>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</si>
  <si>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</si>
  <si>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</si>
  <si>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</si>
  <si>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</si>
  <si>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</si>
  <si>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</si>
  <si>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</si>
  <si>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</si>
  <si>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</si>
  <si>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</si>
  <si>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</si>
  <si>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</si>
  <si>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</si>
  <si>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</si>
  <si>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</si>
  <si>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</si>
  <si>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</si>
  <si>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</si>
  <si>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</si>
  <si>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</si>
  <si>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</si>
  <si>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</si>
  <si>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</si>
  <si>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</si>
  <si>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</si>
  <si>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</si>
  <si>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</si>
  <si>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</si>
  <si>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</si>
  <si>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</si>
  <si>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</si>
  <si>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</si>
  <si>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</si>
  <si>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</si>
  <si>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</si>
  <si>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</si>
  <si>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</si>
  <si>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</si>
  <si>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</si>
  <si>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</si>
  <si>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</si>
  <si>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</si>
  <si>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</si>
  <si>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</si>
  <si>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</si>
  <si>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</si>
  <si>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</si>
  <si>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</si>
  <si>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</si>
  <si>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</si>
  <si>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</si>
  <si>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</si>
  <si>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</si>
  <si>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</si>
  <si>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</si>
  <si>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</si>
  <si>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</si>
  <si>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</si>
  <si>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</si>
  <si>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</si>
  <si>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</si>
  <si>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</si>
  <si>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</si>
  <si>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</si>
  <si>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</si>
  <si>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</si>
  <si>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</si>
  <si>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</si>
  <si>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</si>
  <si>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</si>
  <si>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</si>
  <si>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</si>
  <si>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</si>
  <si>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</si>
  <si>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</si>
  <si>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</si>
  <si>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</si>
  <si>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</si>
  <si>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</si>
  <si>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</si>
  <si>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</si>
  <si>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</si>
  <si>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</si>
  <si>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</si>
  <si>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</si>
  <si>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</si>
  <si>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</si>
  <si>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</si>
  <si>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</si>
  <si>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</si>
  <si>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</si>
  <si>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</si>
  <si>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</si>
  <si>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</si>
  <si>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</si>
  <si>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</si>
  <si>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</si>
  <si>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</si>
  <si>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</si>
  <si>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</si>
  <si>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</si>
  <si>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</si>
  <si>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</si>
  <si>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</si>
  <si>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</si>
  <si>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</si>
  <si>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</si>
  <si>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</si>
  <si>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</si>
  <si>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</si>
  <si>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</si>
  <si>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</si>
  <si>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</si>
  <si>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</si>
  <si>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</si>
  <si>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</si>
  <si>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</si>
  <si>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</si>
  <si>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</si>
  <si>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</si>
  <si>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</si>
  <si>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</si>
  <si>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</si>
  <si>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</si>
  <si>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</si>
  <si>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</si>
  <si>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</si>
  <si>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</si>
  <si>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</si>
  <si>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</si>
  <si>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</si>
  <si>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</si>
  <si>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</si>
  <si>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</si>
  <si>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</si>
  <si>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</si>
  <si>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</si>
  <si>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</si>
  <si>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</si>
  <si>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</si>
  <si>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</si>
  <si>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</si>
  <si>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</si>
  <si>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</si>
  <si>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</si>
  <si>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</si>
  <si>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</si>
  <si>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</si>
  <si>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</si>
  <si>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</si>
  <si>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</si>
  <si>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</si>
  <si>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</si>
  <si>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</si>
  <si>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</si>
  <si>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</si>
  <si>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</si>
  <si>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</si>
  <si>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</si>
  <si>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</si>
  <si>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</si>
  <si>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</si>
  <si>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</si>
  <si>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</si>
  <si>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</si>
  <si>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</si>
  <si>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</si>
  <si>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</si>
  <si>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</si>
  <si>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</si>
  <si>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</si>
  <si>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</si>
  <si>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</si>
  <si>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</si>
  <si>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</si>
  <si>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</si>
  <si>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</si>
  <si>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</si>
  <si>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</si>
  <si>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</si>
  <si>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</si>
  <si>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</si>
  <si>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</si>
  <si>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</si>
  <si>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</si>
  <si>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</si>
  <si>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</si>
  <si>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</si>
  <si>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</si>
  <si>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</si>
  <si>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</si>
  <si>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</si>
  <si>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</si>
  <si>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</si>
  <si>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</si>
  <si>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</si>
  <si>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</si>
  <si>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</si>
  <si>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</si>
  <si>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</si>
  <si>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</si>
  <si>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</si>
  <si>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</si>
  <si>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</si>
  <si>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</si>
  <si>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</si>
  <si>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</si>
  <si>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</si>
  <si>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</si>
  <si>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</si>
  <si>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</si>
  <si>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</si>
  <si>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</si>
  <si>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</si>
  <si>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</si>
  <si>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</si>
  <si>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</si>
  <si>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</si>
  <si>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</si>
  <si>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</si>
  <si>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</si>
  <si>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</si>
  <si>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</si>
  <si>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</si>
  <si>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</si>
  <si>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</si>
  <si>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</si>
  <si>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</si>
  <si>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</si>
  <si>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</si>
  <si>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</si>
  <si>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</si>
  <si>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</si>
  <si>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</si>
  <si>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</si>
  <si>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</si>
  <si>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</si>
  <si>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</si>
  <si>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</si>
  <si>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</si>
  <si>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</si>
  <si>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</si>
  <si>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</si>
  <si>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</si>
  <si>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</si>
  <si>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</si>
  <si>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</si>
  <si>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</si>
  <si>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</si>
  <si>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</si>
  <si>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</si>
  <si>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</si>
  <si>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</si>
  <si>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</si>
  <si>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</si>
  <si>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</si>
  <si>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</si>
  <si>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</si>
  <si>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</si>
  <si>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</si>
  <si>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</si>
  <si>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</si>
  <si>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</si>
  <si>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</si>
  <si>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</si>
  <si>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</si>
  <si>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</si>
  <si>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</si>
  <si>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</si>
  <si>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</si>
  <si>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</si>
  <si>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</si>
  <si>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</si>
  <si>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</si>
  <si>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</si>
  <si>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</si>
  <si>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</si>
  <si>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</si>
  <si>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</si>
  <si>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</si>
  <si>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</si>
  <si>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</si>
  <si>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</si>
  <si>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</si>
  <si>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</si>
  <si>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</si>
  <si>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</si>
  <si>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</si>
  <si>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</si>
  <si>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</si>
  <si>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</si>
  <si>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</si>
  <si>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</si>
  <si>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</si>
  <si>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</si>
  <si>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</si>
  <si>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</si>
  <si>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</si>
  <si>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</si>
  <si>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</si>
  <si>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</si>
  <si>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</si>
  <si>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</si>
  <si>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</si>
  <si>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</si>
  <si>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</si>
  <si>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</si>
  <si>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</si>
  <si>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</si>
  <si>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</si>
  <si>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</si>
  <si>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</si>
  <si>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</si>
  <si>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</si>
  <si>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</si>
  <si>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</si>
  <si>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</si>
  <si>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</si>
  <si>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</si>
  <si>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</si>
  <si>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</si>
  <si>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</si>
  <si>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</si>
  <si>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</si>
  <si>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</si>
  <si>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</si>
  <si>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</si>
  <si>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</si>
  <si>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</si>
  <si>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</si>
  <si>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</si>
  <si>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</si>
  <si>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</si>
  <si>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</si>
  <si>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</si>
  <si>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</si>
  <si>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</si>
  <si>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</si>
  <si>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</si>
  <si>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</si>
  <si>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</si>
  <si>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</si>
  <si>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</si>
  <si>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</si>
  <si>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</si>
  <si>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</si>
  <si>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</si>
  <si>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</si>
  <si>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</si>
  <si>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</si>
  <si>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</si>
  <si>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</si>
  <si>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</si>
  <si>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</si>
  <si>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</si>
  <si>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</si>
  <si>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</si>
  <si>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</si>
  <si>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</si>
  <si>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</si>
  <si>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</si>
  <si>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</si>
  <si>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</si>
  <si>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</si>
  <si>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</si>
  <si>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</si>
  <si>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</si>
  <si>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</si>
  <si>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</si>
  <si>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</si>
  <si>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</si>
  <si>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</si>
  <si>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</si>
  <si>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</si>
  <si>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</si>
  <si>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</si>
  <si>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</si>
  <si>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</si>
  <si>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</si>
  <si>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</si>
  <si>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</si>
  <si>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</si>
  <si>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</si>
  <si>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</si>
  <si>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</si>
  <si>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</si>
  <si>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</si>
  <si>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</si>
  <si>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</si>
  <si>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</si>
  <si>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</si>
  <si>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</si>
  <si>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</si>
  <si>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</si>
  <si>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</si>
  <si>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</si>
  <si>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</si>
  <si>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</si>
  <si>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</si>
  <si>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</si>
  <si>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</si>
  <si>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</si>
  <si>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</si>
  <si>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</si>
  <si>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</si>
  <si>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</si>
  <si>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</si>
  <si>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</si>
  <si>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</si>
  <si>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</si>
  <si>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</si>
  <si>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</si>
  <si>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</si>
  <si>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</si>
  <si>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</si>
  <si>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</si>
  <si>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</si>
  <si>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</si>
  <si>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</si>
  <si>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</si>
  <si>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</si>
  <si>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</si>
  <si>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</si>
  <si>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</si>
  <si>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</si>
  <si>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</si>
  <si>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</si>
  <si>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</si>
  <si>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</si>
  <si>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</si>
  <si>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</si>
  <si>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</si>
  <si>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</si>
  <si>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</si>
  <si>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</si>
  <si>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</si>
  <si>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</si>
  <si>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</si>
  <si>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</si>
  <si>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</si>
  <si>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</si>
  <si>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</si>
  <si>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</si>
  <si>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</si>
  <si>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</si>
  <si>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</si>
  <si>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</si>
  <si>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</si>
  <si>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</si>
  <si>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</si>
  <si>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</si>
  <si>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</si>
  <si>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</si>
  <si>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</si>
  <si>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</si>
  <si>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</si>
  <si>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</si>
  <si>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</si>
  <si>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</si>
  <si>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</si>
  <si>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</si>
  <si>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</si>
  <si>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</si>
  <si>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</si>
  <si>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</si>
  <si>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</si>
  <si>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</si>
  <si>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</si>
  <si>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</si>
  <si>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</si>
  <si>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</si>
  <si>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</si>
  <si>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</si>
  <si>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</si>
  <si>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</si>
  <si>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</si>
  <si>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</si>
  <si>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</si>
  <si>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</si>
  <si>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</si>
  <si>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</si>
  <si>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</si>
  <si>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</si>
  <si>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</si>
  <si>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</si>
  <si>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</si>
  <si>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</si>
  <si>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</si>
  <si>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</si>
  <si>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</si>
  <si>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</si>
  <si>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</si>
  <si>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</si>
  <si>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</si>
  <si>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</si>
  <si>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</si>
  <si>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</si>
  <si>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</si>
  <si>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</si>
  <si>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</si>
  <si>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</si>
  <si>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</si>
  <si>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</si>
  <si>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</si>
  <si>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</si>
  <si>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</si>
  <si>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</si>
  <si>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</si>
  <si>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</si>
  <si>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</si>
  <si>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</si>
  <si>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</si>
  <si>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</si>
  <si>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</si>
  <si>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</si>
  <si>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</si>
  <si>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</si>
  <si>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</si>
  <si>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</si>
  <si>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</si>
  <si>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</si>
  <si>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</si>
  <si>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</si>
  <si>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</si>
  <si>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</si>
  <si>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</si>
  <si>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</si>
  <si>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</si>
  <si>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</si>
  <si>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</si>
  <si>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</si>
  <si>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</si>
  <si>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</si>
  <si>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</si>
  <si>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</si>
  <si>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</si>
  <si>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</si>
  <si>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</si>
  <si>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</si>
  <si>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</si>
  <si>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</si>
  <si>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</si>
  <si>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</si>
  <si>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</si>
  <si>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</si>
  <si>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</si>
  <si>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</si>
  <si>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</si>
  <si>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</si>
  <si>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</si>
  <si>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</si>
  <si>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</si>
  <si>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</si>
  <si>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</si>
  <si>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</si>
  <si>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</si>
  <si>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</si>
  <si>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</si>
  <si>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</si>
  <si>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</si>
  <si>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</si>
  <si>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</si>
  <si>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</si>
  <si>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</si>
  <si>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</si>
  <si>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</si>
  <si>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</si>
  <si>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</si>
  <si>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</si>
  <si>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</si>
  <si>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</si>
  <si>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</si>
  <si>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</si>
  <si>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</si>
  <si>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</si>
  <si>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</si>
  <si>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</si>
  <si>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</si>
  <si>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</si>
  <si>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</si>
  <si>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</si>
  <si>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</si>
  <si>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</si>
  <si>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</si>
  <si>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</si>
  <si>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</si>
  <si>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</si>
  <si>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</si>
  <si>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</si>
  <si>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</si>
  <si>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</si>
  <si>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</si>
  <si>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</si>
  <si>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</si>
  <si>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</si>
  <si>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</si>
  <si>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</si>
  <si>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</si>
  <si>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</si>
  <si>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</si>
  <si>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</si>
  <si>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</si>
  <si>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</si>
  <si>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</si>
  <si>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</si>
  <si>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</si>
  <si>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</si>
  <si>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</si>
  <si>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</si>
  <si>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</si>
  <si>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</si>
  <si>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</si>
  <si>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</si>
  <si>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</si>
  <si>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</si>
  <si>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</si>
  <si>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</si>
  <si>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</si>
  <si>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</si>
  <si>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</si>
  <si>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</si>
  <si>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</si>
  <si>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</si>
  <si>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</si>
  <si>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</si>
  <si>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</si>
  <si>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</si>
  <si>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</si>
  <si>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</si>
  <si>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</si>
  <si>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</si>
  <si>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</si>
  <si>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</si>
  <si>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</si>
  <si>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</si>
  <si>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</si>
  <si>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</si>
  <si>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</si>
  <si>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</si>
  <si>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</si>
  <si>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</si>
  <si>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</si>
  <si>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</si>
  <si>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</si>
  <si>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</si>
  <si>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</si>
  <si>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</si>
  <si>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</si>
  <si>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</si>
  <si>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</si>
  <si>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</si>
  <si>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</si>
  <si>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</si>
  <si>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</si>
  <si>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</si>
  <si>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</si>
  <si>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</si>
  <si>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</si>
  <si>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</si>
  <si>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</si>
  <si>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</si>
  <si>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</si>
  <si>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</si>
  <si>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</si>
  <si>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</si>
  <si>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</si>
  <si>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</si>
  <si>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</si>
  <si>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</si>
  <si>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</si>
  <si>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</si>
  <si>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</si>
  <si>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</si>
  <si>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</si>
  <si>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</si>
  <si>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</si>
  <si>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</si>
  <si>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</si>
  <si>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</si>
  <si>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</si>
  <si>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</si>
  <si>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</si>
  <si>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</si>
  <si>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</si>
  <si>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</si>
  <si>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</si>
  <si>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</si>
  <si>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</si>
  <si>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</si>
  <si>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</si>
  <si>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</si>
  <si>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</si>
  <si>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</si>
  <si>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</si>
  <si>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</si>
  <si>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</si>
  <si>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</si>
  <si>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</si>
  <si>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</si>
  <si>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</si>
  <si>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</si>
  <si>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</si>
  <si>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</si>
  <si>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</si>
  <si>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</si>
  <si>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</si>
  <si>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</si>
  <si>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</si>
  <si>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</si>
  <si>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</si>
  <si>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</si>
  <si>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</si>
  <si>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</si>
  <si>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</si>
  <si>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</si>
  <si>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</si>
  <si>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</si>
  <si>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</si>
  <si>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</si>
  <si>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</si>
  <si>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</si>
  <si>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</si>
  <si>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</si>
  <si>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</si>
  <si>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</si>
  <si>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</si>
  <si>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</si>
  <si>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</si>
  <si>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</si>
  <si>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</si>
  <si>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</si>
  <si>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</si>
  <si>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</si>
  <si>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</si>
  <si>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</si>
  <si>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</si>
  <si>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</si>
  <si>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</si>
  <si>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</si>
  <si>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</si>
  <si>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</si>
  <si>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</si>
  <si>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</si>
  <si>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</si>
  <si>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</si>
  <si>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</si>
  <si>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</si>
  <si>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</si>
  <si>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</si>
  <si>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</si>
  <si>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</si>
  <si>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</si>
  <si>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</si>
  <si>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</si>
  <si>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</si>
  <si>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</si>
  <si>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</si>
  <si>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</si>
  <si>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</si>
  <si>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</si>
  <si>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</si>
  <si>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</si>
  <si>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</si>
  <si>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</si>
  <si>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</si>
  <si>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</si>
  <si>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</si>
  <si>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</si>
  <si>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</si>
  <si>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</si>
  <si>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</si>
  <si>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</si>
  <si>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</si>
  <si>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</si>
  <si>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</si>
  <si>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</si>
  <si>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</si>
  <si>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</si>
  <si>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</si>
  <si>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</si>
  <si>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</si>
  <si>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</si>
  <si>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</si>
  <si>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</si>
  <si>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</si>
  <si>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</si>
  <si>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</si>
  <si>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</si>
  <si>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</si>
  <si>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</si>
  <si>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</si>
  <si>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</si>
  <si>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</si>
  <si>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</si>
  <si>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</si>
  <si>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</si>
  <si>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</si>
  <si>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</si>
  <si>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</si>
  <si>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</si>
  <si>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</si>
  <si>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</si>
  <si>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</si>
  <si>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</si>
  <si>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</si>
  <si>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</si>
  <si>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</si>
  <si>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</si>
  <si>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</si>
  <si>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</si>
  <si>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</si>
  <si>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</si>
  <si>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</si>
  <si>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</si>
  <si>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</si>
  <si>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</si>
  <si>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</si>
  <si>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</si>
  <si>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</si>
  <si>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</si>
  <si>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</si>
  <si>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</si>
  <si>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</si>
  <si>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</si>
  <si>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</si>
  <si>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</si>
  <si>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</si>
  <si>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</si>
  <si>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</si>
  <si>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</si>
  <si>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</si>
  <si>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</si>
  <si>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</si>
  <si>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</si>
  <si>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</si>
  <si>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</si>
  <si>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</si>
  <si>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</si>
  <si>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</si>
  <si>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</si>
  <si>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</si>
  <si>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</si>
  <si>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</si>
  <si>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</si>
  <si>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</si>
  <si>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</si>
  <si>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</si>
  <si>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</si>
  <si>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</si>
  <si>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</si>
  <si>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</si>
  <si>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</si>
  <si>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</si>
  <si>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</si>
  <si>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</si>
  <si>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</si>
  <si>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</si>
  <si>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</si>
  <si>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</si>
  <si>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</si>
  <si>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</si>
  <si>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</si>
  <si>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</si>
  <si>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</si>
  <si>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</si>
  <si>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</si>
  <si>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</si>
  <si>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</si>
  <si>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</si>
  <si>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</si>
  <si>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</si>
  <si>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</si>
  <si>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</si>
  <si>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</si>
  <si>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</si>
  <si>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JMY estimate (2% seemed too low)</t>
  </si>
  <si>
    <t>6May: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</si>
  <si>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</si>
  <si>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</si>
  <si>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</si>
  <si>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</si>
  <si>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</si>
  <si>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</si>
  <si>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</si>
  <si>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</si>
  <si>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</si>
  <si>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</si>
  <si>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</si>
  <si>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t>
  </si>
  <si>
    <t>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</si>
</sst>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42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8"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406" t="s">
        <v>2413</v>
      </c>
      <c r="K18" s="406"/>
      <c r="L18" s="406"/>
      <c r="M18" s="406"/>
      <c r="N18" s="406"/>
      <c r="O18" s="406"/>
      <c r="P18" s="406"/>
      <c r="Q18" s="406"/>
      <c r="R18" s="406"/>
      <c r="S18" s="406"/>
      <c r="T18" s="406"/>
      <c r="U18" s="406"/>
      <c r="V18" s="406"/>
      <c r="W18" s="406"/>
      <c r="X18" s="40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407" t="s">
        <v>2412</v>
      </c>
      <c r="K21" s="408"/>
      <c r="L21" s="408"/>
      <c r="M21" s="408"/>
      <c r="N21" s="408"/>
      <c r="O21" s="408"/>
      <c r="P21" s="408"/>
      <c r="Q21" s="408"/>
      <c r="R21" s="408"/>
      <c r="S21" s="408"/>
      <c r="T21" s="408"/>
      <c r="U21" s="408"/>
      <c r="V21" s="408"/>
      <c r="W21" s="408"/>
      <c r="X21" s="40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abSelected="1" topLeftCell="H204" zoomScale="91" zoomScaleNormal="91" workbookViewId="0">
      <selection activeCell="J134" sqref="J134"/>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44329.847407523099</v>
      </c>
      <c r="J18" s="410" t="s">
        <v>2498</v>
      </c>
      <c r="K18" s="406"/>
      <c r="L18" s="406"/>
      <c r="M18" s="406"/>
      <c r="N18" s="406"/>
      <c r="O18" s="406"/>
      <c r="P18" s="406"/>
      <c r="Q18" s="406"/>
      <c r="R18" s="406"/>
      <c r="S18" s="406"/>
      <c r="T18" s="406"/>
      <c r="U18" s="406"/>
      <c r="V18" s="406"/>
      <c r="W18" s="406"/>
      <c r="X18" s="40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44322.740550347196</v>
      </c>
      <c r="J21" s="407" t="s">
        <v>2483</v>
      </c>
      <c r="K21" s="408"/>
      <c r="L21" s="408"/>
      <c r="M21" s="408"/>
      <c r="N21" s="408"/>
      <c r="O21" s="408"/>
      <c r="P21" s="408"/>
      <c r="Q21" s="408"/>
      <c r="R21" s="408"/>
      <c r="S21" s="408"/>
      <c r="T21" s="408"/>
      <c r="U21" s="408"/>
      <c r="V21" s="408"/>
      <c r="W21" s="408"/>
      <c r="X21" s="40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5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56"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c r="AY98" t="s">
        <v>2486</v>
      </c>
    </row>
    <row r="99" spans="1:5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c r="AY99" t="s">
        <v>2487</v>
      </c>
    </row>
    <row r="100" spans="1:56"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c r="AY100" t="s">
        <v>2488</v>
      </c>
      <c r="AZ100" s="174">
        <v>70</v>
      </c>
      <c r="BA100">
        <f>IFERROR(MIN(2,MATCH($AZ100,i_woolp_mpg_range_w5,1)),1)-1</f>
        <v>1</v>
      </c>
      <c r="BB100" t="s">
        <v>2489</v>
      </c>
      <c r="BC100" s="108">
        <v>50</v>
      </c>
      <c r="BD100">
        <f>IFERROR(MIN(2,MATCH($BC100,i_woolp_fdprem_range_w5,1)),1)-1</f>
        <v>1</v>
      </c>
    </row>
    <row r="101" spans="1:5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c r="AX101" s="398" t="s">
        <v>2490</v>
      </c>
      <c r="AY101" s="398" t="s">
        <v>2491</v>
      </c>
      <c r="AZ101" s="398" t="s">
        <v>2489</v>
      </c>
      <c r="BA101" s="398" t="s">
        <v>2497</v>
      </c>
    </row>
    <row r="102" spans="1:5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c r="AX102" s="386">
        <f>$H102</f>
        <v>16</v>
      </c>
      <c r="AY102" s="387">
        <f t="shared" ref="AY102:AY113" ca="1" si="12">($AX102=i_woolp_fd_std)*_xlfn.FORECAST.LINEAR($AZ$100,OFFSET($I102:$K102,0,$BA$100,1,2),OFFSET(i_woolp_mpg_range_w5,0,$BA$100,1,2))</f>
        <v>0</v>
      </c>
      <c r="AZ102" s="388">
        <f t="shared" ref="AZ102:AZ113" ca="1" si="13">_xlfn.FORECAST.LINEAR($BC$100,OFFSET($AD102:$AF102,0,$BD$100,1,2),OFFSET(i_woolp_fdprem_range_w5,0,$BD$100,1,2))</f>
        <v>8.4471771197698553E-2</v>
      </c>
      <c r="BA102" s="389">
        <f ca="1">SUM($AY$102:$AY$113)*(1+$AZ102)*$W102</f>
        <v>1369.083434755546</v>
      </c>
    </row>
    <row r="103" spans="1:5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c r="AX103" s="390">
        <f t="shared" ref="AX103:AX113" si="14">$H103</f>
        <v>17</v>
      </c>
      <c r="AY103" s="391">
        <f t="shared" ca="1" si="12"/>
        <v>0</v>
      </c>
      <c r="AZ103" s="392">
        <f t="shared" ca="1" si="13"/>
        <v>7.1873373728261747E-2</v>
      </c>
      <c r="BA103" s="419">
        <f t="shared" ref="BA103:BA107" ca="1" si="15">SUM($AY$102:$AY$113)*(1+$AZ103)*$W103</f>
        <v>1353.1786802585034</v>
      </c>
    </row>
    <row r="104" spans="1:5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c r="AX104" s="390">
        <f t="shared" si="14"/>
        <v>18</v>
      </c>
      <c r="AY104" s="391">
        <f t="shared" ca="1" si="12"/>
        <v>0</v>
      </c>
      <c r="AZ104" s="392">
        <f t="shared" ca="1" si="13"/>
        <v>6.2658569182611146E-2</v>
      </c>
      <c r="BA104" s="422">
        <f t="shared" ca="1" si="15"/>
        <v>1341.5455178350803</v>
      </c>
    </row>
    <row r="105" spans="1:5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6">L104</f>
        <v>0</v>
      </c>
      <c r="M105" s="349">
        <f t="shared" si="16"/>
        <v>-2.6656511805026657E-2</v>
      </c>
      <c r="N105" s="349">
        <f t="shared" si="16"/>
        <v>-7.6161462300076158E-2</v>
      </c>
      <c r="O105" s="350">
        <f t="shared" si="16"/>
        <v>-3.8080731150038086E-2</v>
      </c>
      <c r="P105" s="350">
        <f t="shared" si="16"/>
        <v>-1.5232292460015232E-2</v>
      </c>
      <c r="Q105" s="350">
        <f t="shared" si="16"/>
        <v>0</v>
      </c>
      <c r="R105" s="350">
        <f t="shared" si="16"/>
        <v>5.7121096725057125E-3</v>
      </c>
      <c r="S105" s="350">
        <f t="shared" si="16"/>
        <v>0</v>
      </c>
      <c r="T105" s="350">
        <f t="shared" si="16"/>
        <v>0</v>
      </c>
      <c r="U105" s="350">
        <f t="shared" si="16"/>
        <v>0</v>
      </c>
      <c r="V105" s="350">
        <f t="shared" si="16"/>
        <v>0</v>
      </c>
      <c r="W105" s="349">
        <f t="shared" si="16"/>
        <v>0.94399999999999995</v>
      </c>
      <c r="X105" s="351">
        <f t="shared" si="16"/>
        <v>0.82499999999999996</v>
      </c>
      <c r="Y105" s="351">
        <f t="shared" si="16"/>
        <v>0.82499999999999996</v>
      </c>
      <c r="Z105" s="351">
        <f t="shared" si="16"/>
        <v>0.57499999999999996</v>
      </c>
      <c r="AA105" s="351">
        <f t="shared" si="16"/>
        <v>0.60499999999999998</v>
      </c>
      <c r="AB105" s="351">
        <f t="shared" si="16"/>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c r="AX105" s="390">
        <f t="shared" si="14"/>
        <v>19</v>
      </c>
      <c r="AY105" s="391">
        <f t="shared" ca="1" si="12"/>
        <v>0</v>
      </c>
      <c r="AZ105" s="392">
        <f t="shared" ca="1" si="13"/>
        <v>5.3565375285273831E-2</v>
      </c>
      <c r="BA105" s="420">
        <f t="shared" ca="1" si="15"/>
        <v>1330.0658818828085</v>
      </c>
    </row>
    <row r="106" spans="1:56" outlineLevel="3" x14ac:dyDescent="0.25">
      <c r="A106" s="54"/>
      <c r="B106" s="63"/>
      <c r="C106" s="98">
        <f t="shared" si="3"/>
        <v>4</v>
      </c>
      <c r="D106" s="84"/>
      <c r="E106" s="79"/>
      <c r="F106" s="79">
        <f t="shared" si="6"/>
        <v>-11</v>
      </c>
      <c r="G106" s="84"/>
      <c r="H106" s="90">
        <v>20</v>
      </c>
      <c r="I106" s="132">
        <v>865</v>
      </c>
      <c r="J106" s="132">
        <v>1143</v>
      </c>
      <c r="K106" s="132">
        <v>1485</v>
      </c>
      <c r="L106" s="349">
        <f t="shared" si="16"/>
        <v>0</v>
      </c>
      <c r="M106" s="349">
        <f t="shared" si="16"/>
        <v>-2.6656511805026657E-2</v>
      </c>
      <c r="N106" s="349">
        <f t="shared" si="16"/>
        <v>-7.6161462300076158E-2</v>
      </c>
      <c r="O106" s="350">
        <f t="shared" si="16"/>
        <v>-3.8080731150038086E-2</v>
      </c>
      <c r="P106" s="350">
        <f t="shared" si="16"/>
        <v>-1.5232292460015232E-2</v>
      </c>
      <c r="Q106" s="350">
        <f t="shared" si="16"/>
        <v>0</v>
      </c>
      <c r="R106" s="350">
        <f t="shared" si="16"/>
        <v>5.7121096725057125E-3</v>
      </c>
      <c r="S106" s="350">
        <f t="shared" si="16"/>
        <v>0</v>
      </c>
      <c r="T106" s="350">
        <f t="shared" si="16"/>
        <v>0</v>
      </c>
      <c r="U106" s="350">
        <f t="shared" si="16"/>
        <v>0</v>
      </c>
      <c r="V106" s="350">
        <f t="shared" si="16"/>
        <v>0</v>
      </c>
      <c r="W106" s="349">
        <f t="shared" si="16"/>
        <v>0.94399999999999995</v>
      </c>
      <c r="X106" s="351">
        <f t="shared" si="16"/>
        <v>0.82499999999999996</v>
      </c>
      <c r="Y106" s="351">
        <f t="shared" si="16"/>
        <v>0.82499999999999996</v>
      </c>
      <c r="Z106" s="351">
        <f t="shared" si="16"/>
        <v>0.57499999999999996</v>
      </c>
      <c r="AA106" s="351">
        <f t="shared" si="16"/>
        <v>0.60499999999999998</v>
      </c>
      <c r="AB106" s="351">
        <f t="shared" si="16"/>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c r="AX106" s="390">
        <f t="shared" si="14"/>
        <v>20</v>
      </c>
      <c r="AY106" s="391">
        <f t="shared" ca="1" si="12"/>
        <v>0</v>
      </c>
      <c r="AZ106" s="392">
        <f t="shared" ca="1" si="13"/>
        <v>2.0000000000000018E-2</v>
      </c>
      <c r="BA106" s="422">
        <f t="shared" ca="1" si="15"/>
        <v>1287.6915200000001</v>
      </c>
    </row>
    <row r="107" spans="1:56" outlineLevel="3" x14ac:dyDescent="0.25">
      <c r="A107" s="54"/>
      <c r="B107" s="63"/>
      <c r="C107" s="98">
        <f t="shared" si="3"/>
        <v>4</v>
      </c>
      <c r="D107" s="84"/>
      <c r="E107" s="79"/>
      <c r="F107" s="79">
        <f t="shared" si="6"/>
        <v>-83</v>
      </c>
      <c r="G107" s="84"/>
      <c r="H107" s="90">
        <v>21</v>
      </c>
      <c r="I107" s="108">
        <v>818</v>
      </c>
      <c r="J107" s="108">
        <v>1132</v>
      </c>
      <c r="K107" s="108">
        <v>1440</v>
      </c>
      <c r="L107" s="349">
        <f t="shared" si="16"/>
        <v>0</v>
      </c>
      <c r="M107" s="349">
        <f t="shared" si="16"/>
        <v>-2.6656511805026657E-2</v>
      </c>
      <c r="N107" s="349">
        <f t="shared" si="16"/>
        <v>-7.6161462300076158E-2</v>
      </c>
      <c r="O107" s="350">
        <f t="shared" si="16"/>
        <v>-3.8080731150038086E-2</v>
      </c>
      <c r="P107" s="350">
        <f t="shared" si="16"/>
        <v>-1.5232292460015232E-2</v>
      </c>
      <c r="Q107" s="350">
        <f t="shared" si="16"/>
        <v>0</v>
      </c>
      <c r="R107" s="350">
        <f t="shared" si="16"/>
        <v>5.7121096725057125E-3</v>
      </c>
      <c r="S107" s="350">
        <f t="shared" si="16"/>
        <v>0</v>
      </c>
      <c r="T107" s="350">
        <f t="shared" si="16"/>
        <v>0</v>
      </c>
      <c r="U107" s="350">
        <f t="shared" si="16"/>
        <v>0</v>
      </c>
      <c r="V107" s="350">
        <f t="shared" si="16"/>
        <v>0</v>
      </c>
      <c r="W107" s="349">
        <f t="shared" si="16"/>
        <v>0.94399999999999995</v>
      </c>
      <c r="X107" s="351">
        <f t="shared" si="16"/>
        <v>0.82499999999999996</v>
      </c>
      <c r="Y107" s="351">
        <f t="shared" si="16"/>
        <v>0.82499999999999996</v>
      </c>
      <c r="Z107" s="351">
        <f t="shared" si="16"/>
        <v>0.57499999999999996</v>
      </c>
      <c r="AA107" s="351">
        <f t="shared" si="16"/>
        <v>0.60499999999999998</v>
      </c>
      <c r="AB107" s="351">
        <f t="shared" si="16"/>
        <v>0.9</v>
      </c>
      <c r="AC107" s="352">
        <f t="shared" si="9"/>
        <v>0.91383899999999996</v>
      </c>
      <c r="AD107" s="127">
        <f t="shared" ref="AD107" si="17">(1+AM107)^IFERROR((1/(i_woolp_fd_std-$H107)),1)-1</f>
        <v>0</v>
      </c>
      <c r="AE107" s="127">
        <f t="shared" ref="AE107" si="18">(1+AN107)^IFERROR((1/(i_woolp_fd_std-$H107)),1)-1</f>
        <v>0</v>
      </c>
      <c r="AF107" s="127">
        <f t="shared" si="10"/>
        <v>0</v>
      </c>
      <c r="AG107" s="87"/>
      <c r="AH107" s="84"/>
      <c r="AI107" s="66"/>
      <c r="AJ107" s="54"/>
      <c r="AK107" s="345"/>
      <c r="AL107" s="54"/>
      <c r="AM107" s="130"/>
      <c r="AN107" s="130"/>
      <c r="AO107" s="130"/>
      <c r="AR107" s="131"/>
      <c r="AS107" s="131"/>
      <c r="AT107" s="131"/>
      <c r="AX107" s="390">
        <f t="shared" si="14"/>
        <v>21</v>
      </c>
      <c r="AY107" s="391">
        <f t="shared" ca="1" si="12"/>
        <v>1337.3333333333335</v>
      </c>
      <c r="AZ107" s="392">
        <f t="shared" ca="1" si="13"/>
        <v>0</v>
      </c>
      <c r="BA107" s="420">
        <f t="shared" ca="1" si="15"/>
        <v>1262.4426666666668</v>
      </c>
    </row>
    <row r="108" spans="1:5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6"/>
        <v>0</v>
      </c>
      <c r="M108" s="349">
        <f t="shared" si="16"/>
        <v>-2.6656511805026657E-2</v>
      </c>
      <c r="N108" s="349">
        <f t="shared" si="16"/>
        <v>-7.6161462300076158E-2</v>
      </c>
      <c r="O108" s="350">
        <f t="shared" si="16"/>
        <v>-3.8080731150038086E-2</v>
      </c>
      <c r="P108" s="350">
        <f t="shared" si="16"/>
        <v>-1.5232292460015232E-2</v>
      </c>
      <c r="Q108" s="350">
        <f t="shared" si="16"/>
        <v>0</v>
      </c>
      <c r="R108" s="350">
        <f t="shared" si="16"/>
        <v>5.7121096725057125E-3</v>
      </c>
      <c r="S108" s="350">
        <f t="shared" si="16"/>
        <v>0</v>
      </c>
      <c r="T108" s="350">
        <f t="shared" si="16"/>
        <v>0</v>
      </c>
      <c r="U108" s="350">
        <f t="shared" si="16"/>
        <v>0</v>
      </c>
      <c r="V108" s="350">
        <f t="shared" si="16"/>
        <v>0</v>
      </c>
      <c r="W108" s="349">
        <f t="shared" si="16"/>
        <v>0.94399999999999995</v>
      </c>
      <c r="X108" s="351">
        <f t="shared" si="16"/>
        <v>0.82499999999999996</v>
      </c>
      <c r="Y108" s="351">
        <f t="shared" si="16"/>
        <v>0.82499999999999996</v>
      </c>
      <c r="Z108" s="351">
        <f t="shared" si="16"/>
        <v>0.57499999999999996</v>
      </c>
      <c r="AA108" s="351">
        <f t="shared" si="16"/>
        <v>0.60499999999999998</v>
      </c>
      <c r="AB108" s="351">
        <f t="shared" si="16"/>
        <v>0.9</v>
      </c>
      <c r="AC108" s="352">
        <f t="shared" si="9"/>
        <v>0.91170623985785748</v>
      </c>
      <c r="AD108" s="127">
        <f t="shared" ref="AD108:AF113" si="19">(1+AM108)^IFERROR((1/(i_woolp_fd_std-$H108)),1)-1</f>
        <v>1.0101010101010166E-2</v>
      </c>
      <c r="AE108" s="127">
        <f t="shared" si="19"/>
        <v>2.0408163265306145E-2</v>
      </c>
      <c r="AF108" s="127">
        <f t="shared" si="19"/>
        <v>4.1666666666666741E-2</v>
      </c>
      <c r="AG108" s="129"/>
      <c r="AH108" s="84"/>
      <c r="AI108" s="66"/>
      <c r="AJ108" s="54"/>
      <c r="AK108" s="345"/>
      <c r="AL108" s="54"/>
      <c r="AM108" s="130">
        <v>-0.01</v>
      </c>
      <c r="AN108" s="130">
        <v>-0.02</v>
      </c>
      <c r="AO108" s="130">
        <v>-0.04</v>
      </c>
      <c r="AR108" s="131">
        <f t="shared" ref="AR108:AT113" si="20">1-((1+AM108)/(1+AM107))^(1/($H107-$H108))</f>
        <v>-1.0101010101010166E-2</v>
      </c>
      <c r="AS108" s="131">
        <f t="shared" si="20"/>
        <v>-2.0408163265306145E-2</v>
      </c>
      <c r="AT108" s="131">
        <f t="shared" si="20"/>
        <v>-4.1666666666666741E-2</v>
      </c>
      <c r="AX108" s="390">
        <f t="shared" si="14"/>
        <v>22</v>
      </c>
      <c r="AY108" s="391">
        <f t="shared" ca="1" si="12"/>
        <v>0</v>
      </c>
      <c r="AZ108" s="392">
        <f t="shared" ca="1" si="13"/>
        <v>2.0408163265306145E-2</v>
      </c>
      <c r="BA108" s="423">
        <f ca="1">SUM($AY$102:$AY$113)*(1-$AZ108)*$W108</f>
        <v>1236.6785306122451</v>
      </c>
    </row>
    <row r="109" spans="1:5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6"/>
        <v>0</v>
      </c>
      <c r="M109" s="349">
        <f t="shared" si="16"/>
        <v>-2.6656511805026657E-2</v>
      </c>
      <c r="N109" s="349">
        <f t="shared" si="16"/>
        <v>-7.6161462300076158E-2</v>
      </c>
      <c r="O109" s="350">
        <f t="shared" si="16"/>
        <v>-3.8080731150038086E-2</v>
      </c>
      <c r="P109" s="350">
        <f t="shared" si="16"/>
        <v>-1.5232292460015232E-2</v>
      </c>
      <c r="Q109" s="350">
        <f t="shared" si="16"/>
        <v>0</v>
      </c>
      <c r="R109" s="350">
        <f t="shared" si="16"/>
        <v>5.7121096725057125E-3</v>
      </c>
      <c r="S109" s="350">
        <f t="shared" si="16"/>
        <v>0</v>
      </c>
      <c r="T109" s="350">
        <f t="shared" si="16"/>
        <v>0</v>
      </c>
      <c r="U109" s="350">
        <f t="shared" si="16"/>
        <v>0</v>
      </c>
      <c r="V109" s="350">
        <f t="shared" si="16"/>
        <v>0</v>
      </c>
      <c r="W109" s="349">
        <f t="shared" si="16"/>
        <v>0.94399999999999995</v>
      </c>
      <c r="X109" s="351">
        <f t="shared" si="16"/>
        <v>0.82499999999999996</v>
      </c>
      <c r="Y109" s="351">
        <f t="shared" si="16"/>
        <v>0.82499999999999996</v>
      </c>
      <c r="Z109" s="351">
        <f t="shared" si="16"/>
        <v>0.57499999999999996</v>
      </c>
      <c r="AA109" s="351">
        <f t="shared" si="16"/>
        <v>0.60499999999999998</v>
      </c>
      <c r="AB109" s="351">
        <f t="shared" si="16"/>
        <v>0.9</v>
      </c>
      <c r="AC109" s="352">
        <f t="shared" si="9"/>
        <v>0.91294971584521134</v>
      </c>
      <c r="AD109" s="127">
        <f t="shared" si="19"/>
        <v>2.4485188140280334E-2</v>
      </c>
      <c r="AE109" s="127">
        <f t="shared" si="19"/>
        <v>3.9608921504417527E-2</v>
      </c>
      <c r="AF109" s="127">
        <f t="shared" si="19"/>
        <v>5.983983294832651E-2</v>
      </c>
      <c r="AG109" s="129"/>
      <c r="AH109" s="84"/>
      <c r="AI109" s="66"/>
      <c r="AJ109" s="54"/>
      <c r="AK109" s="345"/>
      <c r="AL109" s="54"/>
      <c r="AM109" s="130">
        <v>-7.0000000000000007E-2</v>
      </c>
      <c r="AN109" s="130">
        <v>-0.11</v>
      </c>
      <c r="AO109" s="130">
        <v>-0.16</v>
      </c>
      <c r="AR109" s="131">
        <f t="shared" si="20"/>
        <v>-3.1753909143191983E-2</v>
      </c>
      <c r="AS109" s="131">
        <f t="shared" si="20"/>
        <v>-4.9344364594205992E-2</v>
      </c>
      <c r="AT109" s="131">
        <f>1-((1+AO109)/(1+AO108))^(1/($H108-$H109))</f>
        <v>-6.9044967649697586E-2</v>
      </c>
      <c r="AX109" s="390">
        <f t="shared" si="14"/>
        <v>24</v>
      </c>
      <c r="AY109" s="391">
        <f t="shared" ca="1" si="12"/>
        <v>0</v>
      </c>
      <c r="AZ109" s="392">
        <f t="shared" ca="1" si="13"/>
        <v>3.9608921504417527E-2</v>
      </c>
      <c r="BA109" s="421">
        <f t="shared" ref="BA109:BA113" ca="1" si="21">SUM($AY$102:$AY$113)*(1-$AZ109)*$W109</f>
        <v>1212.4386741788392</v>
      </c>
    </row>
    <row r="110" spans="1:56" outlineLevel="3" x14ac:dyDescent="0.25">
      <c r="A110" s="54"/>
      <c r="B110" s="63"/>
      <c r="C110" s="98">
        <f t="shared" si="3"/>
        <v>4</v>
      </c>
      <c r="D110" s="84"/>
      <c r="E110" s="79"/>
      <c r="F110" s="79">
        <f t="shared" si="6"/>
        <v>-83.5</v>
      </c>
      <c r="G110" s="84"/>
      <c r="H110" s="90">
        <v>26</v>
      </c>
      <c r="I110" s="132">
        <v>587</v>
      </c>
      <c r="J110" s="132">
        <v>768</v>
      </c>
      <c r="K110" s="132">
        <v>1038</v>
      </c>
      <c r="L110" s="349">
        <f t="shared" si="16"/>
        <v>0</v>
      </c>
      <c r="M110" s="349">
        <f t="shared" si="16"/>
        <v>-2.6656511805026657E-2</v>
      </c>
      <c r="N110" s="349">
        <f t="shared" si="16"/>
        <v>-7.6161462300076158E-2</v>
      </c>
      <c r="O110" s="350">
        <f t="shared" si="16"/>
        <v>-3.8080731150038086E-2</v>
      </c>
      <c r="P110" s="350">
        <f t="shared" si="16"/>
        <v>-1.5232292460015232E-2</v>
      </c>
      <c r="Q110" s="350">
        <f t="shared" si="16"/>
        <v>0</v>
      </c>
      <c r="R110" s="350">
        <f t="shared" si="16"/>
        <v>5.7121096725057125E-3</v>
      </c>
      <c r="S110" s="350">
        <f t="shared" si="16"/>
        <v>0</v>
      </c>
      <c r="T110" s="350">
        <f t="shared" si="16"/>
        <v>0</v>
      </c>
      <c r="U110" s="350">
        <f t="shared" si="16"/>
        <v>0</v>
      </c>
      <c r="V110" s="350">
        <f t="shared" si="16"/>
        <v>0</v>
      </c>
      <c r="W110" s="133">
        <v>0.86099999999999999</v>
      </c>
      <c r="X110" s="135">
        <v>0.61299999999999999</v>
      </c>
      <c r="Y110" s="135">
        <v>0.59399999999999997</v>
      </c>
      <c r="Z110" s="135">
        <v>0.42599999999999999</v>
      </c>
      <c r="AA110" s="135">
        <v>0.41499999999999998</v>
      </c>
      <c r="AB110" s="135">
        <f t="shared" si="16"/>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9"/>
        <v>5.9223841048812176E-2</v>
      </c>
      <c r="AE110" s="127">
        <f t="shared" si="19"/>
        <v>8.0185187303563499E-2</v>
      </c>
      <c r="AF110" s="127">
        <f t="shared" si="19"/>
        <v>9.6811234199721818E-2</v>
      </c>
      <c r="AG110" s="129"/>
      <c r="AH110" s="84"/>
      <c r="AI110" s="66"/>
      <c r="AJ110" s="54"/>
      <c r="AK110" s="345"/>
      <c r="AL110" s="54"/>
      <c r="AM110" s="130">
        <v>-0.25</v>
      </c>
      <c r="AN110" s="130">
        <v>-0.32</v>
      </c>
      <c r="AO110" s="130">
        <v>-0.37</v>
      </c>
      <c r="AR110" s="131">
        <f t="shared" si="20"/>
        <v>-0.11355287256600421</v>
      </c>
      <c r="AS110" s="131">
        <f t="shared" si="20"/>
        <v>-0.14403825522216041</v>
      </c>
      <c r="AT110" s="131">
        <f t="shared" si="20"/>
        <v>-0.15470053837925168</v>
      </c>
      <c r="AX110" s="390">
        <f t="shared" si="14"/>
        <v>26</v>
      </c>
      <c r="AY110" s="391">
        <f t="shared" ca="1" si="12"/>
        <v>0</v>
      </c>
      <c r="AZ110" s="392">
        <f t="shared" ca="1" si="13"/>
        <v>8.0185187303563499E-2</v>
      </c>
      <c r="BA110" s="393">
        <f t="shared" ca="1" si="21"/>
        <v>1059.1152471904359</v>
      </c>
    </row>
    <row r="111" spans="1:5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6"/>
        <v>0</v>
      </c>
      <c r="M111" s="349">
        <f t="shared" si="16"/>
        <v>-2.6656511805026657E-2</v>
      </c>
      <c r="N111" s="349">
        <f t="shared" si="16"/>
        <v>-7.6161462300076158E-2</v>
      </c>
      <c r="O111" s="350">
        <f t="shared" si="16"/>
        <v>-3.8080731150038086E-2</v>
      </c>
      <c r="P111" s="350">
        <f t="shared" si="16"/>
        <v>-1.5232292460015232E-2</v>
      </c>
      <c r="Q111" s="350">
        <f t="shared" si="16"/>
        <v>0</v>
      </c>
      <c r="R111" s="350">
        <f t="shared" si="16"/>
        <v>5.7121096725057125E-3</v>
      </c>
      <c r="S111" s="350">
        <f t="shared" si="16"/>
        <v>0</v>
      </c>
      <c r="T111" s="350">
        <f t="shared" si="16"/>
        <v>0</v>
      </c>
      <c r="U111" s="350">
        <f t="shared" si="16"/>
        <v>0</v>
      </c>
      <c r="V111" s="350">
        <f t="shared" si="16"/>
        <v>0</v>
      </c>
      <c r="W111" s="349">
        <f t="shared" si="16"/>
        <v>0.86099999999999999</v>
      </c>
      <c r="X111" s="351">
        <f t="shared" si="16"/>
        <v>0.61299999999999999</v>
      </c>
      <c r="Y111" s="351">
        <f t="shared" si="16"/>
        <v>0.59399999999999997</v>
      </c>
      <c r="Z111" s="351">
        <f t="shared" si="16"/>
        <v>0.42599999999999999</v>
      </c>
      <c r="AA111" s="351">
        <f t="shared" si="16"/>
        <v>0.41499999999999998</v>
      </c>
      <c r="AB111" s="351">
        <f t="shared" si="16"/>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9"/>
        <v>7.5703739842783557E-2</v>
      </c>
      <c r="AE111" s="127">
        <f t="shared" si="19"/>
        <v>0.10097051704290827</v>
      </c>
      <c r="AF111" s="127">
        <f t="shared" si="19"/>
        <v>0.11054705837327061</v>
      </c>
      <c r="AG111" s="129"/>
      <c r="AH111" s="84"/>
      <c r="AI111" s="66"/>
      <c r="AJ111" s="54"/>
      <c r="AK111" s="345"/>
      <c r="AL111" s="54"/>
      <c r="AM111" s="130">
        <v>-0.4</v>
      </c>
      <c r="AN111" s="130">
        <v>-0.49</v>
      </c>
      <c r="AO111" s="130">
        <v>-0.52</v>
      </c>
      <c r="AR111" s="131">
        <f t="shared" si="20"/>
        <v>-0.1180339887498949</v>
      </c>
      <c r="AS111" s="131">
        <f t="shared" si="20"/>
        <v>-0.15470053837925146</v>
      </c>
      <c r="AT111" s="131">
        <f t="shared" si="20"/>
        <v>-0.14564392373896018</v>
      </c>
      <c r="AX111" s="390">
        <f t="shared" si="14"/>
        <v>28</v>
      </c>
      <c r="AY111" s="391">
        <f t="shared" ca="1" si="12"/>
        <v>0</v>
      </c>
      <c r="AZ111" s="392">
        <f t="shared" ca="1" si="13"/>
        <v>0.10097051704290827</v>
      </c>
      <c r="BA111" s="393">
        <f t="shared" ca="1" si="21"/>
        <v>1035.1821039740455</v>
      </c>
    </row>
    <row r="112" spans="1:56" outlineLevel="3" x14ac:dyDescent="0.25">
      <c r="A112" s="54"/>
      <c r="B112" s="63"/>
      <c r="C112" s="98">
        <f t="shared" si="3"/>
        <v>4</v>
      </c>
      <c r="D112" s="84"/>
      <c r="E112" s="79"/>
      <c r="F112" s="79"/>
      <c r="G112" s="84"/>
      <c r="H112" s="90">
        <v>32</v>
      </c>
      <c r="I112" s="132">
        <v>300</v>
      </c>
      <c r="J112" s="132">
        <v>425</v>
      </c>
      <c r="K112" s="132">
        <v>550</v>
      </c>
      <c r="L112" s="349">
        <f t="shared" ref="L112:AB113" si="22">L110</f>
        <v>0</v>
      </c>
      <c r="M112" s="349">
        <f t="shared" si="22"/>
        <v>-2.6656511805026657E-2</v>
      </c>
      <c r="N112" s="349">
        <f t="shared" si="22"/>
        <v>-7.6161462300076158E-2</v>
      </c>
      <c r="O112" s="350">
        <f t="shared" si="22"/>
        <v>-3.8080731150038086E-2</v>
      </c>
      <c r="P112" s="350">
        <f t="shared" si="22"/>
        <v>-1.5232292460015232E-2</v>
      </c>
      <c r="Q112" s="350">
        <f t="shared" si="22"/>
        <v>0</v>
      </c>
      <c r="R112" s="350">
        <f t="shared" si="22"/>
        <v>5.7121096725057125E-3</v>
      </c>
      <c r="S112" s="350">
        <f t="shared" si="22"/>
        <v>0</v>
      </c>
      <c r="T112" s="350">
        <f t="shared" si="22"/>
        <v>0</v>
      </c>
      <c r="U112" s="350">
        <f t="shared" si="22"/>
        <v>0</v>
      </c>
      <c r="V112" s="350">
        <f t="shared" si="22"/>
        <v>0</v>
      </c>
      <c r="W112" s="349">
        <f t="shared" si="22"/>
        <v>0.86099999999999999</v>
      </c>
      <c r="X112" s="351">
        <f t="shared" si="22"/>
        <v>0.61299999999999999</v>
      </c>
      <c r="Y112" s="351">
        <f t="shared" si="22"/>
        <v>0.59399999999999997</v>
      </c>
      <c r="Z112" s="351">
        <f t="shared" si="22"/>
        <v>0.42599999999999999</v>
      </c>
      <c r="AA112" s="351">
        <f t="shared" si="22"/>
        <v>0.41499999999999998</v>
      </c>
      <c r="AB112" s="351">
        <f t="shared" si="22"/>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20"/>
        <v>-3.6422843755939738E-2</v>
      </c>
      <c r="AS112" s="131">
        <f t="shared" si="20"/>
        <v>-9.098032586468241E-2</v>
      </c>
      <c r="AT112" s="131">
        <f t="shared" si="20"/>
        <v>-0.13425528070419568</v>
      </c>
      <c r="AX112" s="390">
        <f t="shared" si="14"/>
        <v>32</v>
      </c>
      <c r="AY112" s="391">
        <f t="shared" ca="1" si="12"/>
        <v>0</v>
      </c>
      <c r="AZ112" s="392">
        <f t="shared" ca="1" si="13"/>
        <v>9.7327179497088467E-2</v>
      </c>
      <c r="BA112" s="393">
        <f t="shared" ca="1" si="21"/>
        <v>1039.3772031311546</v>
      </c>
    </row>
    <row r="113" spans="1:53" outlineLevel="3" x14ac:dyDescent="0.25">
      <c r="A113" s="54"/>
      <c r="B113" s="63"/>
      <c r="C113" s="98">
        <f t="shared" si="3"/>
        <v>4</v>
      </c>
      <c r="D113" s="84"/>
      <c r="E113" s="79"/>
      <c r="F113" s="79"/>
      <c r="G113" s="84"/>
      <c r="H113" s="90">
        <v>34</v>
      </c>
      <c r="I113" s="137">
        <v>200</v>
      </c>
      <c r="J113" s="137">
        <v>300</v>
      </c>
      <c r="K113" s="137">
        <v>350</v>
      </c>
      <c r="L113" s="354">
        <f t="shared" si="22"/>
        <v>0</v>
      </c>
      <c r="M113" s="354">
        <f t="shared" si="22"/>
        <v>-2.6656511805026657E-2</v>
      </c>
      <c r="N113" s="354">
        <f t="shared" si="22"/>
        <v>-7.6161462300076158E-2</v>
      </c>
      <c r="O113" s="355">
        <f t="shared" si="22"/>
        <v>-3.8080731150038086E-2</v>
      </c>
      <c r="P113" s="355">
        <f t="shared" si="22"/>
        <v>-1.5232292460015232E-2</v>
      </c>
      <c r="Q113" s="355">
        <f t="shared" si="22"/>
        <v>0</v>
      </c>
      <c r="R113" s="355">
        <f t="shared" si="22"/>
        <v>5.7121096725057125E-3</v>
      </c>
      <c r="S113" s="355">
        <f t="shared" si="22"/>
        <v>0</v>
      </c>
      <c r="T113" s="355">
        <f t="shared" si="22"/>
        <v>0</v>
      </c>
      <c r="U113" s="355">
        <f t="shared" si="22"/>
        <v>0</v>
      </c>
      <c r="V113" s="355">
        <f t="shared" si="22"/>
        <v>0</v>
      </c>
      <c r="W113" s="354">
        <f t="shared" si="22"/>
        <v>0.86099999999999999</v>
      </c>
      <c r="X113" s="356">
        <f t="shared" si="22"/>
        <v>0.61299999999999999</v>
      </c>
      <c r="Y113" s="356">
        <f t="shared" si="22"/>
        <v>0.59399999999999997</v>
      </c>
      <c r="Z113" s="356">
        <f t="shared" si="22"/>
        <v>0.42599999999999999</v>
      </c>
      <c r="AA113" s="356">
        <f t="shared" si="22"/>
        <v>0.41499999999999998</v>
      </c>
      <c r="AB113" s="356">
        <f t="shared" si="22"/>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9"/>
        <v>6.3349326849504228E-2</v>
      </c>
      <c r="AE113" s="192">
        <f t="shared" si="19"/>
        <v>8.9023845437388838E-2</v>
      </c>
      <c r="AF113" s="192">
        <f t="shared" si="19"/>
        <v>0.14603066068180648</v>
      </c>
      <c r="AG113" s="87"/>
      <c r="AH113" s="84"/>
      <c r="AI113" s="66"/>
      <c r="AJ113" s="54"/>
      <c r="AK113" s="345"/>
      <c r="AL113" s="54"/>
      <c r="AM113" s="130">
        <v>-0.55000000000000004</v>
      </c>
      <c r="AN113" s="130">
        <v>-0.67</v>
      </c>
      <c r="AO113" s="130">
        <v>-0.83</v>
      </c>
      <c r="AP113" t="s">
        <v>262</v>
      </c>
      <c r="AR113" s="131">
        <f t="shared" si="20"/>
        <v>-7.4967699773140106E-2</v>
      </c>
      <c r="AS113" s="131">
        <f t="shared" si="20"/>
        <v>-4.4465935734187001E-2</v>
      </c>
      <c r="AT113" s="131">
        <f t="shared" si="20"/>
        <v>-0.30609431242203033</v>
      </c>
      <c r="AX113" s="394">
        <f t="shared" si="14"/>
        <v>34</v>
      </c>
      <c r="AY113" s="395">
        <f t="shared" ca="1" si="12"/>
        <v>0</v>
      </c>
      <c r="AZ113" s="396">
        <f t="shared" ca="1" si="13"/>
        <v>8.9023845437388838E-2</v>
      </c>
      <c r="BA113" s="397">
        <f t="shared" ca="1" si="21"/>
        <v>1048.9380273141912</v>
      </c>
    </row>
    <row r="114" spans="1:53"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53"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53"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53"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53"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53"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53" outlineLevel="1" collapsed="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53"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53"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53" hidden="1" outlineLevel="2" x14ac:dyDescent="0.25">
      <c r="A123" s="54"/>
      <c r="B123" s="63"/>
      <c r="C123" s="98">
        <f>INT($C$86)+2</f>
        <v>3</v>
      </c>
      <c r="D123" s="84"/>
      <c r="E123" s="79"/>
      <c r="F123" s="79"/>
      <c r="G123" s="84"/>
      <c r="H123" s="87" t="s">
        <v>2420</v>
      </c>
      <c r="I123" s="87"/>
      <c r="J123" s="87" t="str">
        <f t="shared" ref="J123:O123" si="23">W100</f>
        <v>Fleece</v>
      </c>
      <c r="K123" s="87" t="str">
        <f t="shared" si="23"/>
        <v>Pieces</v>
      </c>
      <c r="L123" s="87" t="str">
        <f t="shared" si="23"/>
        <v>Bellies</v>
      </c>
      <c r="M123" s="87" t="str">
        <f t="shared" si="23"/>
        <v>Locks</v>
      </c>
      <c r="N123" s="87" t="str">
        <f t="shared" si="23"/>
        <v>Stains</v>
      </c>
      <c r="O123" s="87" t="str">
        <f t="shared" si="23"/>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53"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53"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24">(K126/K124)/SUMPRODUCT($J126:$P126,(1/$J124:$P124))</f>
        <v>0.1131434988500704</v>
      </c>
      <c r="L125" s="358">
        <f t="shared" si="24"/>
        <v>4.1071090082575555E-2</v>
      </c>
      <c r="M125" s="358">
        <f t="shared" si="24"/>
        <v>1.2445784873507741E-2</v>
      </c>
      <c r="N125" s="358">
        <f t="shared" si="24"/>
        <v>3.1593146217365808E-2</v>
      </c>
      <c r="O125" s="358">
        <f t="shared" si="24"/>
        <v>0</v>
      </c>
      <c r="P125" s="358">
        <f t="shared" si="24"/>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53"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53"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5">L126/(1-($P$126-$N$126))</f>
        <v>3.3000000000000002E-2</v>
      </c>
      <c r="M127" s="360">
        <f t="shared" si="25"/>
        <v>1.2999999999999999E-2</v>
      </c>
      <c r="N127" s="360">
        <f t="shared" si="25"/>
        <v>3.3000000000000002E-2</v>
      </c>
      <c r="O127" s="360">
        <f t="shared" si="25"/>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53"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6">K123</f>
        <v>Pieces</v>
      </c>
      <c r="L129" s="87" t="str">
        <f t="shared" si="26"/>
        <v>Bellies</v>
      </c>
      <c r="M129" s="87" t="str">
        <f t="shared" si="26"/>
        <v>Locks</v>
      </c>
      <c r="N129" s="87" t="str">
        <f t="shared" si="26"/>
        <v>Stains</v>
      </c>
      <c r="O129" s="87" t="str">
        <f t="shared" si="26"/>
        <v>Off types</v>
      </c>
      <c r="P129" s="87" t="str">
        <f t="shared" si="26"/>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7">L130/(1-($P$126-$N$126))</f>
        <v>0.03</v>
      </c>
      <c r="M131" s="360">
        <f t="shared" si="27"/>
        <v>0.01</v>
      </c>
      <c r="N131" s="360">
        <f t="shared" si="27"/>
        <v>2.8000000000000001E-2</v>
      </c>
      <c r="O131" s="360">
        <f t="shared" si="27"/>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collapsed="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8">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8"/>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8"/>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8"/>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8"/>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8"/>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8"/>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44"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44"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44"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44"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44"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44"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c r="AN166" t="s">
        <v>2493</v>
      </c>
    </row>
    <row r="167" spans="1:44"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c r="AN167" t="s">
        <v>2494</v>
      </c>
    </row>
    <row r="168" spans="1:44"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411" t="s">
        <v>308</v>
      </c>
      <c r="V168" s="41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c r="AN168" t="s">
        <v>330</v>
      </c>
      <c r="AO168" t="s">
        <v>2495</v>
      </c>
      <c r="AP168" t="s">
        <v>2496</v>
      </c>
      <c r="AQ168" t="s">
        <v>1315</v>
      </c>
      <c r="AR168" t="s">
        <v>2492</v>
      </c>
    </row>
    <row r="169" spans="1:44"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9">MAX(OFFSET($J$184,$E169*i_s5_len,0,i_s5_len,COUNTA($J$180:$O$180)))</f>
        <v>6.8</v>
      </c>
      <c r="X169" s="160">
        <f t="shared" ref="X169:X176" ca="1" si="30">W169/V169</f>
        <v>4.6288329969975885</v>
      </c>
      <c r="Y169" s="161" t="s">
        <v>314</v>
      </c>
      <c r="Z169" s="156">
        <v>3</v>
      </c>
      <c r="AA169" s="162">
        <v>0.05</v>
      </c>
      <c r="AB169" s="156">
        <v>0.17</v>
      </c>
      <c r="AC169" s="156"/>
      <c r="AD169" s="162">
        <v>0.02</v>
      </c>
      <c r="AE169" s="163">
        <v>4.4999999999999997E-3</v>
      </c>
      <c r="AF169" s="158">
        <f t="shared" ref="AF169:AG176" si="31">SUMIFS($Z169:$AE169,$Z$168:$AE$168,AF$168)</f>
        <v>3.17</v>
      </c>
      <c r="AG169" s="164">
        <f t="shared" si="31"/>
        <v>7.4500000000000011E-2</v>
      </c>
      <c r="AH169" s="84"/>
      <c r="AI169" s="66"/>
      <c r="AJ169" s="54"/>
      <c r="AK169" s="54"/>
      <c r="AL169" s="54"/>
      <c r="AN169" s="399" t="str">
        <f>$H169</f>
        <v>Prime Lamb grid (0)</v>
      </c>
      <c r="AO169" s="400">
        <v>85</v>
      </c>
      <c r="AP169" s="387">
        <f>IFERROR(MIN(2,MATCH($AO169,i_salep_percentile_range_s4,1)),1)-1</f>
        <v>1</v>
      </c>
      <c r="AQ169" s="388">
        <f t="shared" ref="AQ169:AQ176" ca="1" si="32">_xlfn.FORECAST.LINEAR($AO$169,OFFSET($R169:$T169,0,$AP$169,1,2),OFFSET(i_salep_percentile_range_s4,0,$AP$169,1,2))</f>
        <v>1.3872017353579178</v>
      </c>
      <c r="AR169" s="401">
        <f ca="1">$X169*$AQ169</f>
        <v>6.4211251661170463</v>
      </c>
    </row>
    <row r="170" spans="1:44" outlineLevel="3" x14ac:dyDescent="0.25">
      <c r="A170" s="54"/>
      <c r="B170" s="63"/>
      <c r="C170" s="98">
        <f t="shared" ref="C170:C177" si="33">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34">FORECAST(U170,$R170:$T170,$R$168:$T$168)</f>
        <v>1.5088888888888889</v>
      </c>
      <c r="W170" s="167">
        <f t="shared" ca="1" si="29"/>
        <v>6.8</v>
      </c>
      <c r="X170" s="167">
        <f t="shared" ca="1" si="30"/>
        <v>4.5066273932253313</v>
      </c>
      <c r="Y170" s="168" t="s">
        <v>314</v>
      </c>
      <c r="Z170" s="169">
        <v>3</v>
      </c>
      <c r="AA170" s="170">
        <v>0.05</v>
      </c>
      <c r="AB170" s="169">
        <v>0.17</v>
      </c>
      <c r="AC170" s="169"/>
      <c r="AD170" s="170">
        <v>0.02</v>
      </c>
      <c r="AE170" s="171">
        <v>4.4999999999999997E-3</v>
      </c>
      <c r="AF170" s="172">
        <f t="shared" si="31"/>
        <v>3.17</v>
      </c>
      <c r="AG170" s="173">
        <f t="shared" si="31"/>
        <v>7.4500000000000011E-2</v>
      </c>
      <c r="AH170" s="84"/>
      <c r="AI170" s="66"/>
      <c r="AJ170" s="54"/>
      <c r="AK170" s="54"/>
      <c r="AL170" s="54"/>
      <c r="AN170" s="402" t="str">
        <f t="shared" ref="AN170:AN176" si="35">$H170</f>
        <v>Air freight lamb grid (1)</v>
      </c>
      <c r="AO170" s="391"/>
      <c r="AP170" s="391"/>
      <c r="AQ170" s="392">
        <f t="shared" ca="1" si="32"/>
        <v>1.3681481481481481</v>
      </c>
      <c r="AR170" s="403">
        <f t="shared" ref="AR170:AR176" ca="1" si="36">$X170*$AQ170</f>
        <v>6.1657339224349528</v>
      </c>
    </row>
    <row r="171" spans="1:44" outlineLevel="3" x14ac:dyDescent="0.25">
      <c r="A171" s="54"/>
      <c r="B171" s="63"/>
      <c r="C171" s="98">
        <f t="shared" si="33"/>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34"/>
        <v>1.5135860979462874</v>
      </c>
      <c r="W171" s="167">
        <f t="shared" ca="1" si="29"/>
        <v>6.4</v>
      </c>
      <c r="X171" s="167">
        <f t="shared" ca="1" si="30"/>
        <v>4.2283686462790948</v>
      </c>
      <c r="Y171" s="168" t="s">
        <v>314</v>
      </c>
      <c r="Z171" s="169">
        <v>3</v>
      </c>
      <c r="AA171" s="170">
        <v>0.05</v>
      </c>
      <c r="AB171" s="169">
        <v>0.17</v>
      </c>
      <c r="AC171" s="169"/>
      <c r="AD171" s="170">
        <v>0.02</v>
      </c>
      <c r="AE171" s="171">
        <v>4.4999999999999997E-3</v>
      </c>
      <c r="AF171" s="172">
        <f t="shared" si="31"/>
        <v>3.17</v>
      </c>
      <c r="AG171" s="173">
        <f t="shared" si="31"/>
        <v>7.4500000000000011E-2</v>
      </c>
      <c r="AH171" s="84"/>
      <c r="AI171" s="66"/>
      <c r="AJ171" s="54"/>
      <c r="AK171" s="54"/>
      <c r="AL171" s="54"/>
      <c r="AN171" s="402" t="str">
        <f t="shared" si="35"/>
        <v>Store lamb grid (2)</v>
      </c>
      <c r="AO171" s="391"/>
      <c r="AP171" s="391"/>
      <c r="AQ171" s="392">
        <f t="shared" ca="1" si="32"/>
        <v>1.3455766192733019</v>
      </c>
      <c r="AR171" s="403">
        <f t="shared" ca="1" si="36"/>
        <v>5.6895939881014526</v>
      </c>
    </row>
    <row r="172" spans="1:44" outlineLevel="3" x14ac:dyDescent="0.25">
      <c r="A172" s="54"/>
      <c r="B172" s="63"/>
      <c r="C172" s="98">
        <f t="shared" si="33"/>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34"/>
        <v>1.4166666666666667</v>
      </c>
      <c r="W172" s="167">
        <f t="shared" ca="1" si="29"/>
        <v>5.2</v>
      </c>
      <c r="X172" s="167">
        <f t="shared" ca="1" si="30"/>
        <v>3.6705882352941175</v>
      </c>
      <c r="Y172" s="168" t="s">
        <v>314</v>
      </c>
      <c r="Z172" s="169">
        <v>3</v>
      </c>
      <c r="AA172" s="170">
        <v>0.05</v>
      </c>
      <c r="AB172" s="169">
        <v>0.17</v>
      </c>
      <c r="AC172" s="169">
        <v>0.2</v>
      </c>
      <c r="AD172" s="169"/>
      <c r="AE172" s="171">
        <v>4.4999999999999997E-3</v>
      </c>
      <c r="AF172" s="172">
        <f t="shared" si="31"/>
        <v>3.37</v>
      </c>
      <c r="AG172" s="173">
        <f t="shared" si="31"/>
        <v>5.45E-2</v>
      </c>
      <c r="AH172" s="84"/>
      <c r="AI172" s="66"/>
      <c r="AJ172" s="54"/>
      <c r="AK172" s="54"/>
      <c r="AL172" s="54"/>
      <c r="AN172" s="402" t="str">
        <f t="shared" si="35"/>
        <v>Yearling grid (3)</v>
      </c>
      <c r="AO172" s="391"/>
      <c r="AP172" s="391"/>
      <c r="AQ172" s="392">
        <f t="shared" ca="1" si="32"/>
        <v>1.3499999999999999</v>
      </c>
      <c r="AR172" s="403">
        <f t="shared" ca="1" si="36"/>
        <v>4.9552941176470577</v>
      </c>
    </row>
    <row r="173" spans="1:44" outlineLevel="3" x14ac:dyDescent="0.25">
      <c r="A173" s="54"/>
      <c r="B173" s="63"/>
      <c r="C173" s="98">
        <f t="shared" si="33"/>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34"/>
        <v>1.4166666666666667</v>
      </c>
      <c r="W173" s="167">
        <f t="shared" ca="1" si="29"/>
        <v>120</v>
      </c>
      <c r="X173" s="167">
        <f t="shared" ca="1" si="30"/>
        <v>84.705882352941174</v>
      </c>
      <c r="Y173" s="168" t="s">
        <v>320</v>
      </c>
      <c r="Z173" s="169">
        <v>5</v>
      </c>
      <c r="AA173" s="170">
        <v>0.05</v>
      </c>
      <c r="AB173" s="169">
        <v>0.17</v>
      </c>
      <c r="AC173" s="169">
        <v>0.2</v>
      </c>
      <c r="AD173" s="169"/>
      <c r="AE173" s="171">
        <v>4.4999999999999997E-3</v>
      </c>
      <c r="AF173" s="172">
        <f t="shared" si="31"/>
        <v>5.37</v>
      </c>
      <c r="AG173" s="173">
        <f t="shared" si="31"/>
        <v>5.45E-2</v>
      </c>
      <c r="AH173" s="84"/>
      <c r="AI173" s="66"/>
      <c r="AJ173" s="54"/>
      <c r="AK173" s="54"/>
      <c r="AL173" s="54"/>
      <c r="AN173" s="402" t="str">
        <f t="shared" si="35"/>
        <v>Export wether grid (4)</v>
      </c>
      <c r="AO173" s="391"/>
      <c r="AP173" s="391"/>
      <c r="AQ173" s="392">
        <f t="shared" ca="1" si="32"/>
        <v>1.3499999999999999</v>
      </c>
      <c r="AR173" s="403">
        <f t="shared" ca="1" si="36"/>
        <v>114.35294117647058</v>
      </c>
    </row>
    <row r="174" spans="1:44" outlineLevel="3" x14ac:dyDescent="0.25">
      <c r="A174" s="54"/>
      <c r="B174" s="63"/>
      <c r="C174" s="98">
        <f t="shared" si="33"/>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34"/>
        <v>1.4166666666666667</v>
      </c>
      <c r="W174" s="167">
        <f t="shared" ca="1" si="29"/>
        <v>140</v>
      </c>
      <c r="X174" s="167">
        <f t="shared" ca="1" si="30"/>
        <v>98.823529411764696</v>
      </c>
      <c r="Y174" s="168" t="s">
        <v>322</v>
      </c>
      <c r="Z174" s="169">
        <v>3</v>
      </c>
      <c r="AA174" s="170">
        <v>0.05</v>
      </c>
      <c r="AB174" s="169">
        <f>0.17+0.79</f>
        <v>0.96000000000000008</v>
      </c>
      <c r="AC174" s="169">
        <v>0.2</v>
      </c>
      <c r="AD174" s="169"/>
      <c r="AE174" s="171">
        <v>4.4999999999999997E-3</v>
      </c>
      <c r="AF174" s="172">
        <f t="shared" si="31"/>
        <v>4.16</v>
      </c>
      <c r="AG174" s="173">
        <f t="shared" si="31"/>
        <v>5.45E-2</v>
      </c>
      <c r="AH174" s="84"/>
      <c r="AI174" s="66"/>
      <c r="AJ174" s="54"/>
      <c r="AK174" s="54"/>
      <c r="AL174" s="54"/>
      <c r="AN174" s="402" t="str">
        <f t="shared" si="35"/>
        <v>Breeder grid (5)</v>
      </c>
      <c r="AO174" s="391"/>
      <c r="AP174" s="391"/>
      <c r="AQ174" s="392">
        <f t="shared" ca="1" si="32"/>
        <v>1.3499999999999999</v>
      </c>
      <c r="AR174" s="403">
        <f t="shared" ca="1" si="36"/>
        <v>133.41176470588232</v>
      </c>
    </row>
    <row r="175" spans="1:44" outlineLevel="3" x14ac:dyDescent="0.25">
      <c r="A175" s="54"/>
      <c r="B175" s="63"/>
      <c r="C175" s="98">
        <f t="shared" si="33"/>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34"/>
        <v>1.8252830188679245</v>
      </c>
      <c r="W175" s="178">
        <f t="shared" ca="1" si="29"/>
        <v>5.2</v>
      </c>
      <c r="X175" s="178">
        <f t="shared" ca="1" si="30"/>
        <v>2.8488732685548896</v>
      </c>
      <c r="Y175" s="179" t="s">
        <v>322</v>
      </c>
      <c r="Z175" s="180">
        <v>3</v>
      </c>
      <c r="AA175" s="181">
        <v>0.05</v>
      </c>
      <c r="AB175" s="180">
        <f t="shared" ref="AB175:AB176" si="37">0.17+0.79</f>
        <v>0.96000000000000008</v>
      </c>
      <c r="AC175" s="180">
        <v>0.2</v>
      </c>
      <c r="AD175" s="180"/>
      <c r="AE175" s="182">
        <v>4.4999999999999997E-3</v>
      </c>
      <c r="AF175" s="183">
        <f t="shared" si="31"/>
        <v>4.16</v>
      </c>
      <c r="AG175" s="184">
        <f t="shared" si="31"/>
        <v>5.45E-2</v>
      </c>
      <c r="AH175" s="84"/>
      <c r="AI175" s="66"/>
      <c r="AJ175" s="54"/>
      <c r="AK175" s="54"/>
      <c r="AL175" s="54"/>
      <c r="AN175" s="402" t="str">
        <f t="shared" si="35"/>
        <v>Mutton grid (6)</v>
      </c>
      <c r="AO175" s="391"/>
      <c r="AP175" s="391"/>
      <c r="AQ175" s="392">
        <f t="shared" ca="1" si="32"/>
        <v>1.6207547169811323</v>
      </c>
      <c r="AR175" s="403">
        <f t="shared" ca="1" si="36"/>
        <v>4.6173247880917936</v>
      </c>
    </row>
    <row r="176" spans="1:44" outlineLevel="3" x14ac:dyDescent="0.25">
      <c r="A176" s="54"/>
      <c r="B176" s="63"/>
      <c r="C176" s="98">
        <f t="shared" si="33"/>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34"/>
        <v>1.4166666666666667</v>
      </c>
      <c r="W176" s="190">
        <f t="shared" ca="1" si="29"/>
        <v>2</v>
      </c>
      <c r="X176" s="190">
        <f t="shared" ca="1" si="30"/>
        <v>1.4117647058823528</v>
      </c>
      <c r="Y176" s="191" t="s">
        <v>322</v>
      </c>
      <c r="Z176" s="187">
        <v>3</v>
      </c>
      <c r="AA176" s="192">
        <v>0.05</v>
      </c>
      <c r="AB176" s="187">
        <f t="shared" si="37"/>
        <v>0.96000000000000008</v>
      </c>
      <c r="AC176" s="187">
        <v>0.2</v>
      </c>
      <c r="AD176" s="187"/>
      <c r="AE176" s="193">
        <v>4.4999999999999997E-3</v>
      </c>
      <c r="AF176" s="189">
        <f t="shared" si="31"/>
        <v>4.16</v>
      </c>
      <c r="AG176" s="194">
        <f t="shared" si="31"/>
        <v>5.45E-2</v>
      </c>
      <c r="AH176" s="84"/>
      <c r="AI176" s="66"/>
      <c r="AJ176" s="54"/>
      <c r="AK176" s="54"/>
      <c r="AL176" s="54"/>
      <c r="AN176" s="404" t="str">
        <f t="shared" si="35"/>
        <v>Ram grid (7)</v>
      </c>
      <c r="AO176" s="395"/>
      <c r="AP176" s="395"/>
      <c r="AQ176" s="396">
        <f t="shared" ca="1" si="32"/>
        <v>1.3499999999999999</v>
      </c>
      <c r="AR176" s="405">
        <f t="shared" ca="1" si="36"/>
        <v>1.9058823529411761</v>
      </c>
    </row>
    <row r="177" spans="1:38" outlineLevel="3" x14ac:dyDescent="0.25">
      <c r="A177" s="54"/>
      <c r="B177" s="63"/>
      <c r="C177" s="98">
        <f t="shared" si="33"/>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8">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8"/>
        <v>4</v>
      </c>
      <c r="D186" s="84"/>
      <c r="E186" s="79">
        <f t="shared" ref="E186:F191" si="39">E185</f>
        <v>0</v>
      </c>
      <c r="F186" s="79">
        <f t="shared" si="39"/>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8"/>
        <v>4</v>
      </c>
      <c r="D187" s="84"/>
      <c r="E187" s="79">
        <f t="shared" si="39"/>
        <v>0</v>
      </c>
      <c r="F187" s="79">
        <f t="shared" si="39"/>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8"/>
        <v>4</v>
      </c>
      <c r="D188" s="84"/>
      <c r="E188" s="79">
        <f t="shared" si="39"/>
        <v>0</v>
      </c>
      <c r="F188" s="79">
        <f t="shared" si="39"/>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8"/>
        <v>4</v>
      </c>
      <c r="D189" s="84"/>
      <c r="E189" s="79">
        <f t="shared" si="39"/>
        <v>0</v>
      </c>
      <c r="F189" s="79">
        <f t="shared" si="39"/>
        <v>0</v>
      </c>
      <c r="G189" s="84"/>
      <c r="H189" s="87"/>
      <c r="I189" s="197">
        <f t="shared" ref="I189:N190" si="40">I188</f>
        <v>31.1</v>
      </c>
      <c r="J189" s="210">
        <f t="shared" si="40"/>
        <v>4</v>
      </c>
      <c r="K189" s="110">
        <f t="shared" si="40"/>
        <v>5</v>
      </c>
      <c r="L189" s="110">
        <f t="shared" si="40"/>
        <v>5</v>
      </c>
      <c r="M189" s="110">
        <f t="shared" si="40"/>
        <v>5</v>
      </c>
      <c r="N189" s="211">
        <f t="shared" si="40"/>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8"/>
        <v>4</v>
      </c>
      <c r="D190" s="84"/>
      <c r="E190" s="79">
        <f t="shared" si="39"/>
        <v>0</v>
      </c>
      <c r="F190" s="79">
        <f t="shared" si="39"/>
        <v>0</v>
      </c>
      <c r="G190" s="84"/>
      <c r="H190" s="87"/>
      <c r="I190" s="197">
        <f t="shared" si="40"/>
        <v>31.1</v>
      </c>
      <c r="J190" s="218">
        <f t="shared" si="40"/>
        <v>4</v>
      </c>
      <c r="K190" s="187">
        <f t="shared" si="40"/>
        <v>5</v>
      </c>
      <c r="L190" s="187">
        <f t="shared" si="40"/>
        <v>5</v>
      </c>
      <c r="M190" s="187">
        <f t="shared" si="40"/>
        <v>5</v>
      </c>
      <c r="N190" s="219">
        <f t="shared" si="40"/>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8"/>
        <v>4</v>
      </c>
      <c r="D191" s="84"/>
      <c r="E191" s="79">
        <f t="shared" si="39"/>
        <v>0</v>
      </c>
      <c r="F191" s="79">
        <f t="shared" si="39"/>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41">INT($C$153)+3</f>
        <v>4</v>
      </c>
      <c r="D193" s="84"/>
      <c r="E193" s="79"/>
      <c r="F193" s="79">
        <f t="shared" ref="F193:F247" si="42">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41"/>
        <v>4</v>
      </c>
      <c r="D194" s="84"/>
      <c r="E194" s="79"/>
      <c r="F194" s="79">
        <f t="shared" si="42"/>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41"/>
        <v>4</v>
      </c>
      <c r="D195" s="84"/>
      <c r="E195" s="79"/>
      <c r="F195" s="79">
        <f t="shared" si="42"/>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41"/>
        <v>4</v>
      </c>
      <c r="D196" s="84"/>
      <c r="E196" s="79"/>
      <c r="F196" s="79">
        <f t="shared" si="42"/>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41"/>
        <v>4</v>
      </c>
      <c r="D197" s="84"/>
      <c r="E197" s="79"/>
      <c r="F197" s="79">
        <f t="shared" si="42"/>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41"/>
        <v>4</v>
      </c>
      <c r="D198" s="84"/>
      <c r="E198" s="79"/>
      <c r="F198" s="79">
        <f t="shared" si="42"/>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41"/>
        <v>4</v>
      </c>
      <c r="D199" s="84"/>
      <c r="E199" s="79"/>
      <c r="F199" s="79">
        <f t="shared" si="42"/>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43">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43"/>
        <v>4</v>
      </c>
      <c r="D202" s="84"/>
      <c r="E202" s="79"/>
      <c r="F202" s="79">
        <f t="shared" si="42"/>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43"/>
        <v>4</v>
      </c>
      <c r="D203" s="84"/>
      <c r="E203" s="79"/>
      <c r="F203" s="79">
        <f t="shared" si="42"/>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43"/>
        <v>4</v>
      </c>
      <c r="D204" s="84"/>
      <c r="E204" s="79"/>
      <c r="F204" s="79">
        <f t="shared" si="42"/>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43"/>
        <v>4</v>
      </c>
      <c r="D205" s="84"/>
      <c r="E205" s="79"/>
      <c r="F205" s="79">
        <f t="shared" si="42"/>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43"/>
        <v>4</v>
      </c>
      <c r="D206" s="84"/>
      <c r="E206" s="79"/>
      <c r="F206" s="79">
        <f t="shared" si="42"/>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43"/>
        <v>4</v>
      </c>
      <c r="D207" s="84"/>
      <c r="E207" s="79"/>
      <c r="F207" s="79">
        <f t="shared" si="42"/>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44">I232</f>
        <v>10.1</v>
      </c>
      <c r="J208" s="198">
        <f t="shared" si="44"/>
        <v>3</v>
      </c>
      <c r="K208" s="156">
        <f t="shared" si="44"/>
        <v>3</v>
      </c>
      <c r="L208" s="156">
        <f t="shared" si="44"/>
        <v>3</v>
      </c>
      <c r="M208" s="156">
        <f t="shared" si="44"/>
        <v>3</v>
      </c>
      <c r="N208" s="199">
        <f t="shared" si="44"/>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45">INT($C$153)+3</f>
        <v>4</v>
      </c>
      <c r="D209" s="84"/>
      <c r="E209" s="79"/>
      <c r="F209" s="79">
        <f>F208</f>
        <v>3</v>
      </c>
      <c r="G209" s="84"/>
      <c r="H209" s="209" t="str">
        <f>INDEX($M$161:$M$163,INDEX(i_salep_price_type_s7,$F209+1,1)+1,1)&amp;INDEX($L$161:$L$163,INDEX(ia_s8_s7,$F209+1,1)+1,1)</f>
        <v>$/kg DW, DW - Fat score</v>
      </c>
      <c r="I209" s="197">
        <f t="shared" si="44"/>
        <v>14.1</v>
      </c>
      <c r="J209" s="210">
        <f t="shared" si="44"/>
        <v>4.4000000000000004</v>
      </c>
      <c r="K209" s="110">
        <f t="shared" si="44"/>
        <v>4.4000000000000004</v>
      </c>
      <c r="L209" s="110">
        <f t="shared" si="44"/>
        <v>4.4000000000000004</v>
      </c>
      <c r="M209" s="110">
        <f t="shared" si="44"/>
        <v>4.4000000000000004</v>
      </c>
      <c r="N209" s="211">
        <f t="shared" si="44"/>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45"/>
        <v>4</v>
      </c>
      <c r="D210" s="84"/>
      <c r="E210" s="79"/>
      <c r="F210" s="79">
        <f t="shared" si="42"/>
        <v>3</v>
      </c>
      <c r="G210" s="84"/>
      <c r="H210" s="228" t="s">
        <v>336</v>
      </c>
      <c r="I210" s="197">
        <f t="shared" si="44"/>
        <v>18.100000000000001</v>
      </c>
      <c r="J210" s="210">
        <f t="shared" si="44"/>
        <v>5</v>
      </c>
      <c r="K210" s="110">
        <f t="shared" si="44"/>
        <v>5.2</v>
      </c>
      <c r="L210" s="110">
        <f t="shared" si="44"/>
        <v>5.2</v>
      </c>
      <c r="M210" s="110">
        <f t="shared" si="44"/>
        <v>5.2</v>
      </c>
      <c r="N210" s="211">
        <f t="shared" si="44"/>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45"/>
        <v>4</v>
      </c>
      <c r="D211" s="84"/>
      <c r="E211" s="79"/>
      <c r="F211" s="79">
        <f t="shared" si="42"/>
        <v>3</v>
      </c>
      <c r="G211" s="84"/>
      <c r="H211" s="87"/>
      <c r="I211" s="197">
        <f t="shared" si="44"/>
        <v>35.1</v>
      </c>
      <c r="J211" s="210">
        <f t="shared" si="44"/>
        <v>4.5</v>
      </c>
      <c r="K211" s="110">
        <f t="shared" si="44"/>
        <v>4.9000000000000004</v>
      </c>
      <c r="L211" s="110">
        <f t="shared" si="44"/>
        <v>4.9000000000000004</v>
      </c>
      <c r="M211" s="110">
        <f t="shared" si="44"/>
        <v>4.9000000000000004</v>
      </c>
      <c r="N211" s="211">
        <f t="shared" si="44"/>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45"/>
        <v>4</v>
      </c>
      <c r="D212" s="84"/>
      <c r="E212" s="79"/>
      <c r="F212" s="79">
        <f t="shared" si="42"/>
        <v>3</v>
      </c>
      <c r="G212" s="84"/>
      <c r="H212" s="87"/>
      <c r="I212" s="197">
        <f t="shared" si="44"/>
        <v>40.1</v>
      </c>
      <c r="J212" s="210">
        <f t="shared" si="44"/>
        <v>4.4000000000000004</v>
      </c>
      <c r="K212" s="110">
        <f t="shared" si="44"/>
        <v>4.5999999999999996</v>
      </c>
      <c r="L212" s="110">
        <f t="shared" si="44"/>
        <v>4.5999999999999996</v>
      </c>
      <c r="M212" s="110">
        <f t="shared" si="44"/>
        <v>4.5999999999999996</v>
      </c>
      <c r="N212" s="211">
        <f t="shared" si="44"/>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45"/>
        <v>4</v>
      </c>
      <c r="D213" s="84"/>
      <c r="E213" s="79"/>
      <c r="F213" s="79">
        <f t="shared" si="42"/>
        <v>3</v>
      </c>
      <c r="G213" s="84"/>
      <c r="H213" s="87"/>
      <c r="I213" s="197">
        <f t="shared" si="44"/>
        <v>45.1</v>
      </c>
      <c r="J213" s="210">
        <f t="shared" si="44"/>
        <v>4</v>
      </c>
      <c r="K213" s="110">
        <f t="shared" si="44"/>
        <v>4</v>
      </c>
      <c r="L213" s="110">
        <f t="shared" si="44"/>
        <v>4</v>
      </c>
      <c r="M213" s="110">
        <f t="shared" si="44"/>
        <v>4</v>
      </c>
      <c r="N213" s="211">
        <f t="shared" si="44"/>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45"/>
        <v>4</v>
      </c>
      <c r="D214" s="84"/>
      <c r="E214" s="79"/>
      <c r="F214" s="79">
        <f t="shared" si="42"/>
        <v>3</v>
      </c>
      <c r="G214" s="84"/>
      <c r="H214" s="87"/>
      <c r="I214" s="197">
        <f t="shared" si="44"/>
        <v>45.1</v>
      </c>
      <c r="J214" s="218">
        <f t="shared" si="44"/>
        <v>4</v>
      </c>
      <c r="K214" s="187">
        <f t="shared" si="44"/>
        <v>4</v>
      </c>
      <c r="L214" s="187">
        <f t="shared" si="44"/>
        <v>4</v>
      </c>
      <c r="M214" s="187">
        <f t="shared" si="44"/>
        <v>4</v>
      </c>
      <c r="N214" s="219">
        <f t="shared" si="44"/>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45"/>
        <v>4</v>
      </c>
      <c r="D215" s="84"/>
      <c r="E215" s="79"/>
      <c r="F215" s="79">
        <f t="shared" si="42"/>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46">INT($C$153)+3</f>
        <v>4</v>
      </c>
      <c r="D217" s="84"/>
      <c r="E217" s="79"/>
      <c r="F217" s="79">
        <f>F216</f>
        <v>4</v>
      </c>
      <c r="G217" s="84"/>
      <c r="H217" s="209" t="str">
        <f>INDEX($M$161:$M$163,INDEX(i_salep_price_type_s7,$F217+1,1)+1,1)&amp;INDEX($L$161:$L$163,INDEX(ia_s8_s7,$F217+1,1)+1,1)</f>
        <v>$/hd, LW - Condition score</v>
      </c>
      <c r="I217" s="197">
        <v>40</v>
      </c>
      <c r="J217" s="210">
        <f t="shared" ref="J217:L222" si="47">J216</f>
        <v>0.01</v>
      </c>
      <c r="K217" s="110">
        <f t="shared" si="47"/>
        <v>0.01</v>
      </c>
      <c r="L217" s="110">
        <f t="shared" si="47"/>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46"/>
        <v>4</v>
      </c>
      <c r="D218" s="84"/>
      <c r="E218" s="79"/>
      <c r="F218" s="79">
        <f t="shared" si="42"/>
        <v>4</v>
      </c>
      <c r="G218" s="84"/>
      <c r="H218" s="108" t="s">
        <v>337</v>
      </c>
      <c r="I218" s="197">
        <v>45</v>
      </c>
      <c r="J218" s="210">
        <f t="shared" si="47"/>
        <v>0.01</v>
      </c>
      <c r="K218" s="110">
        <f t="shared" si="47"/>
        <v>0.01</v>
      </c>
      <c r="L218" s="110">
        <f t="shared" si="47"/>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46"/>
        <v>4</v>
      </c>
      <c r="D219" s="84"/>
      <c r="E219" s="79"/>
      <c r="F219" s="79">
        <f t="shared" si="42"/>
        <v>4</v>
      </c>
      <c r="G219" s="84"/>
      <c r="H219" s="87"/>
      <c r="I219" s="197">
        <v>50</v>
      </c>
      <c r="J219" s="210">
        <f t="shared" si="47"/>
        <v>0.01</v>
      </c>
      <c r="K219" s="110">
        <f t="shared" si="47"/>
        <v>0.01</v>
      </c>
      <c r="L219" s="110">
        <f t="shared" si="47"/>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46"/>
        <v>4</v>
      </c>
      <c r="D220" s="84"/>
      <c r="E220" s="79"/>
      <c r="F220" s="79">
        <f t="shared" si="42"/>
        <v>4</v>
      </c>
      <c r="G220" s="84"/>
      <c r="H220" s="87"/>
      <c r="I220" s="197">
        <v>55</v>
      </c>
      <c r="J220" s="210">
        <f t="shared" si="47"/>
        <v>0.01</v>
      </c>
      <c r="K220" s="110">
        <f t="shared" si="47"/>
        <v>0.01</v>
      </c>
      <c r="L220" s="110">
        <f t="shared" si="47"/>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46"/>
        <v>4</v>
      </c>
      <c r="D221" s="84"/>
      <c r="E221" s="79"/>
      <c r="F221" s="79">
        <f t="shared" si="42"/>
        <v>4</v>
      </c>
      <c r="G221" s="84"/>
      <c r="H221" s="87"/>
      <c r="I221" s="197">
        <v>60</v>
      </c>
      <c r="J221" s="210">
        <f t="shared" si="47"/>
        <v>0.01</v>
      </c>
      <c r="K221" s="110">
        <f t="shared" si="47"/>
        <v>0.01</v>
      </c>
      <c r="L221" s="110">
        <f t="shared" si="47"/>
        <v>0.01</v>
      </c>
      <c r="M221" s="110">
        <f t="shared" ref="M221:N222" si="48">$I221*2</f>
        <v>120</v>
      </c>
      <c r="N221" s="211">
        <f t="shared" si="48"/>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46"/>
        <v>4</v>
      </c>
      <c r="D222" s="84"/>
      <c r="E222" s="79"/>
      <c r="F222" s="79">
        <f t="shared" si="42"/>
        <v>4</v>
      </c>
      <c r="G222" s="84"/>
      <c r="H222" s="87"/>
      <c r="I222" s="197">
        <f>I221</f>
        <v>60</v>
      </c>
      <c r="J222" s="218">
        <f t="shared" si="47"/>
        <v>0.01</v>
      </c>
      <c r="K222" s="187">
        <f t="shared" si="47"/>
        <v>0.01</v>
      </c>
      <c r="L222" s="187">
        <f t="shared" si="47"/>
        <v>0.01</v>
      </c>
      <c r="M222" s="187">
        <f t="shared" si="48"/>
        <v>120</v>
      </c>
      <c r="N222" s="219">
        <f t="shared" si="48"/>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46"/>
        <v>4</v>
      </c>
      <c r="D223" s="84"/>
      <c r="E223" s="79"/>
      <c r="F223" s="79">
        <f t="shared" si="42"/>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9">INT($C$153)+3</f>
        <v>4</v>
      </c>
      <c r="D225" s="84"/>
      <c r="E225" s="79"/>
      <c r="F225" s="79">
        <f>F224</f>
        <v>5</v>
      </c>
      <c r="G225" s="84"/>
      <c r="H225" s="209" t="str">
        <f>INDEX($M$161:$M$163,INDEX(i_salep_price_type_s7,$F225+1,1)+1,1)&amp;INDEX($L$161:$L$163,INDEX(ia_s8_s7,$F225+1,1)+1,1)</f>
        <v>$/hd, LW - Condition score</v>
      </c>
      <c r="I225" s="197">
        <f t="shared" ref="I225:N230" si="50">I224</f>
        <v>40</v>
      </c>
      <c r="J225" s="210">
        <f t="shared" si="50"/>
        <v>0.01</v>
      </c>
      <c r="K225" s="110">
        <f t="shared" si="50"/>
        <v>0.01</v>
      </c>
      <c r="L225" s="110">
        <f t="shared" si="50"/>
        <v>100</v>
      </c>
      <c r="M225" s="110">
        <f t="shared" si="50"/>
        <v>120</v>
      </c>
      <c r="N225" s="211">
        <f t="shared" si="50"/>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9"/>
        <v>4</v>
      </c>
      <c r="D226" s="84"/>
      <c r="E226" s="79"/>
      <c r="F226" s="79">
        <f t="shared" si="42"/>
        <v>5</v>
      </c>
      <c r="G226" s="84"/>
      <c r="H226" s="108" t="s">
        <v>338</v>
      </c>
      <c r="I226" s="197">
        <f t="shared" si="50"/>
        <v>40</v>
      </c>
      <c r="J226" s="210">
        <f t="shared" si="50"/>
        <v>0.01</v>
      </c>
      <c r="K226" s="110">
        <f t="shared" si="50"/>
        <v>0.01</v>
      </c>
      <c r="L226" s="110">
        <f t="shared" si="50"/>
        <v>100</v>
      </c>
      <c r="M226" s="110">
        <f t="shared" si="50"/>
        <v>120</v>
      </c>
      <c r="N226" s="211">
        <f t="shared" si="50"/>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9"/>
        <v>4</v>
      </c>
      <c r="D227" s="84"/>
      <c r="E227" s="79"/>
      <c r="F227" s="79">
        <f t="shared" si="42"/>
        <v>5</v>
      </c>
      <c r="G227" s="84"/>
      <c r="H227" s="87"/>
      <c r="I227" s="197">
        <f t="shared" si="50"/>
        <v>40</v>
      </c>
      <c r="J227" s="210">
        <f t="shared" si="50"/>
        <v>0.01</v>
      </c>
      <c r="K227" s="110">
        <f t="shared" si="50"/>
        <v>0.01</v>
      </c>
      <c r="L227" s="110">
        <f t="shared" si="50"/>
        <v>100</v>
      </c>
      <c r="M227" s="110">
        <f t="shared" si="50"/>
        <v>120</v>
      </c>
      <c r="N227" s="211">
        <f t="shared" si="50"/>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9"/>
        <v>4</v>
      </c>
      <c r="D228" s="84"/>
      <c r="E228" s="79"/>
      <c r="F228" s="79">
        <f t="shared" si="42"/>
        <v>5</v>
      </c>
      <c r="G228" s="84"/>
      <c r="H228" s="87"/>
      <c r="I228" s="197">
        <f t="shared" si="50"/>
        <v>40</v>
      </c>
      <c r="J228" s="210">
        <f t="shared" si="50"/>
        <v>0.01</v>
      </c>
      <c r="K228" s="110">
        <f t="shared" si="50"/>
        <v>0.01</v>
      </c>
      <c r="L228" s="110">
        <f t="shared" si="50"/>
        <v>100</v>
      </c>
      <c r="M228" s="110">
        <f t="shared" si="50"/>
        <v>120</v>
      </c>
      <c r="N228" s="211">
        <f t="shared" si="50"/>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9"/>
        <v>4</v>
      </c>
      <c r="D229" s="84"/>
      <c r="E229" s="79"/>
      <c r="F229" s="79">
        <f t="shared" si="42"/>
        <v>5</v>
      </c>
      <c r="G229" s="84"/>
      <c r="H229" s="87"/>
      <c r="I229" s="197">
        <f t="shared" si="50"/>
        <v>40</v>
      </c>
      <c r="J229" s="210">
        <f t="shared" si="50"/>
        <v>0.01</v>
      </c>
      <c r="K229" s="110">
        <f t="shared" si="50"/>
        <v>0.01</v>
      </c>
      <c r="L229" s="110">
        <f t="shared" si="50"/>
        <v>100</v>
      </c>
      <c r="M229" s="110">
        <f t="shared" si="50"/>
        <v>120</v>
      </c>
      <c r="N229" s="211">
        <f t="shared" si="50"/>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9"/>
        <v>4</v>
      </c>
      <c r="D230" s="84"/>
      <c r="E230" s="79"/>
      <c r="F230" s="79">
        <f t="shared" si="42"/>
        <v>5</v>
      </c>
      <c r="G230" s="84"/>
      <c r="H230" s="87"/>
      <c r="I230" s="197">
        <f t="shared" si="50"/>
        <v>40</v>
      </c>
      <c r="J230" s="218">
        <f t="shared" si="50"/>
        <v>0.01</v>
      </c>
      <c r="K230" s="187">
        <f t="shared" si="50"/>
        <v>0.01</v>
      </c>
      <c r="L230" s="187">
        <f t="shared" si="50"/>
        <v>100</v>
      </c>
      <c r="M230" s="187">
        <f t="shared" si="50"/>
        <v>120</v>
      </c>
      <c r="N230" s="219">
        <f t="shared" si="50"/>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9"/>
        <v>4</v>
      </c>
      <c r="D231" s="84"/>
      <c r="E231" s="79"/>
      <c r="F231" s="79">
        <f t="shared" si="42"/>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51">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51"/>
        <v>4</v>
      </c>
      <c r="D234" s="84"/>
      <c r="E234" s="79"/>
      <c r="F234" s="79">
        <f t="shared" si="42"/>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51"/>
        <v>4</v>
      </c>
      <c r="D235" s="84"/>
      <c r="E235" s="79"/>
      <c r="F235" s="79">
        <f t="shared" si="42"/>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51"/>
        <v>4</v>
      </c>
      <c r="D236" s="84"/>
      <c r="E236" s="79"/>
      <c r="F236" s="79">
        <f t="shared" si="42"/>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51"/>
        <v>4</v>
      </c>
      <c r="D237" s="84"/>
      <c r="E237" s="79"/>
      <c r="F237" s="79">
        <f t="shared" si="42"/>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51"/>
        <v>4</v>
      </c>
      <c r="D238" s="84"/>
      <c r="E238" s="79"/>
      <c r="F238" s="79">
        <f t="shared" si="42"/>
        <v>6</v>
      </c>
      <c r="G238" s="84"/>
      <c r="H238" s="87"/>
      <c r="I238" s="197">
        <f t="shared" ref="I238:N238" si="52">I237</f>
        <v>45.1</v>
      </c>
      <c r="J238" s="229">
        <f t="shared" si="52"/>
        <v>4</v>
      </c>
      <c r="K238" s="230">
        <f t="shared" si="52"/>
        <v>4</v>
      </c>
      <c r="L238" s="230">
        <f t="shared" si="52"/>
        <v>4</v>
      </c>
      <c r="M238" s="230">
        <f t="shared" si="52"/>
        <v>4</v>
      </c>
      <c r="N238" s="231">
        <f t="shared" si="52"/>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51"/>
        <v>4</v>
      </c>
      <c r="D239" s="84"/>
      <c r="E239" s="79"/>
      <c r="F239" s="79">
        <f t="shared" si="42"/>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53">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53"/>
        <v>4</v>
      </c>
      <c r="D242" s="84"/>
      <c r="E242" s="79"/>
      <c r="F242" s="79">
        <f t="shared" si="42"/>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53"/>
        <v>4</v>
      </c>
      <c r="D243" s="84"/>
      <c r="E243" s="79"/>
      <c r="F243" s="79">
        <f t="shared" si="42"/>
        <v>7</v>
      </c>
      <c r="G243" s="84"/>
      <c r="H243" s="87"/>
      <c r="I243" s="197">
        <f t="shared" ref="I243:N246" si="54">I242</f>
        <v>30</v>
      </c>
      <c r="J243" s="232">
        <f t="shared" si="54"/>
        <v>1</v>
      </c>
      <c r="K243" s="233">
        <f t="shared" si="54"/>
        <v>1</v>
      </c>
      <c r="L243" s="233">
        <f t="shared" si="54"/>
        <v>1</v>
      </c>
      <c r="M243" s="233">
        <f t="shared" si="54"/>
        <v>1</v>
      </c>
      <c r="N243" s="234">
        <f t="shared" si="54"/>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53"/>
        <v>4</v>
      </c>
      <c r="D244" s="84"/>
      <c r="E244" s="79"/>
      <c r="F244" s="79">
        <f t="shared" si="42"/>
        <v>7</v>
      </c>
      <c r="G244" s="84"/>
      <c r="H244" s="87"/>
      <c r="I244" s="197">
        <f t="shared" si="54"/>
        <v>30</v>
      </c>
      <c r="J244" s="232">
        <f t="shared" si="54"/>
        <v>1</v>
      </c>
      <c r="K244" s="233">
        <f t="shared" si="54"/>
        <v>1</v>
      </c>
      <c r="L244" s="233">
        <f t="shared" si="54"/>
        <v>1</v>
      </c>
      <c r="M244" s="233">
        <f t="shared" si="54"/>
        <v>1</v>
      </c>
      <c r="N244" s="234">
        <f t="shared" si="54"/>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53"/>
        <v>4</v>
      </c>
      <c r="D245" s="84"/>
      <c r="E245" s="79"/>
      <c r="F245" s="79">
        <f t="shared" si="42"/>
        <v>7</v>
      </c>
      <c r="G245" s="84"/>
      <c r="H245" s="87"/>
      <c r="I245" s="197">
        <f t="shared" si="54"/>
        <v>30</v>
      </c>
      <c r="J245" s="232">
        <f t="shared" si="54"/>
        <v>1</v>
      </c>
      <c r="K245" s="233">
        <f t="shared" si="54"/>
        <v>1</v>
      </c>
      <c r="L245" s="233">
        <f t="shared" si="54"/>
        <v>1</v>
      </c>
      <c r="M245" s="233">
        <f t="shared" si="54"/>
        <v>1</v>
      </c>
      <c r="N245" s="234">
        <f t="shared" si="54"/>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53"/>
        <v>4</v>
      </c>
      <c r="D246" s="84"/>
      <c r="E246" s="79"/>
      <c r="F246" s="79">
        <f t="shared" si="42"/>
        <v>7</v>
      </c>
      <c r="G246" s="84"/>
      <c r="H246" s="87"/>
      <c r="I246" s="197">
        <f t="shared" si="54"/>
        <v>30</v>
      </c>
      <c r="J246" s="229">
        <f t="shared" si="54"/>
        <v>1</v>
      </c>
      <c r="K246" s="230">
        <f t="shared" si="54"/>
        <v>1</v>
      </c>
      <c r="L246" s="230">
        <f t="shared" si="54"/>
        <v>1</v>
      </c>
      <c r="M246" s="230">
        <f t="shared" si="54"/>
        <v>1</v>
      </c>
      <c r="N246" s="231">
        <f t="shared" si="54"/>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53"/>
        <v>4</v>
      </c>
      <c r="D247" s="84"/>
      <c r="E247" s="79"/>
      <c r="F247" s="79">
        <f t="shared" si="42"/>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55">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55"/>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55"/>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55"/>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55"/>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55"/>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55"/>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55"/>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55"/>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56">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56"/>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56"/>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56"/>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56"/>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56"/>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7">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7"/>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7"/>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7"/>
        <v>4</v>
      </c>
      <c r="D319" s="84"/>
      <c r="E319" s="79"/>
      <c r="F319" s="79"/>
      <c r="G319" s="84"/>
      <c r="H319" s="87"/>
      <c r="I319" s="87"/>
      <c r="J319" s="87"/>
      <c r="K319" s="87"/>
      <c r="L319" s="87"/>
      <c r="M319" s="87"/>
      <c r="N319" s="87"/>
      <c r="O319" s="87"/>
      <c r="P319" s="87"/>
      <c r="Q319" s="87"/>
      <c r="R319" s="87"/>
      <c r="S319" s="87"/>
      <c r="T319" s="107" t="str">
        <f t="shared" ref="T319:AG319" si="58">INDEX($H$292:$H$300,T318+1,1)</f>
        <v>LW</v>
      </c>
      <c r="U319" s="107" t="str">
        <f t="shared" si="58"/>
        <v>LW</v>
      </c>
      <c r="V319" s="107" t="str">
        <f t="shared" si="58"/>
        <v>head</v>
      </c>
      <c r="W319" s="107" t="str">
        <f t="shared" si="58"/>
        <v>head</v>
      </c>
      <c r="X319" s="107" t="str">
        <f t="shared" si="58"/>
        <v>head</v>
      </c>
      <c r="Y319" s="107" t="str">
        <f t="shared" si="58"/>
        <v>head</v>
      </c>
      <c r="Z319" s="107" t="str">
        <f t="shared" si="58"/>
        <v>head</v>
      </c>
      <c r="AA319" s="107" t="str">
        <f t="shared" si="58"/>
        <v>nyatf</v>
      </c>
      <c r="AB319" s="107" t="str">
        <f t="shared" si="58"/>
        <v>nyatf</v>
      </c>
      <c r="AC319" s="107" t="str">
        <f t="shared" si="58"/>
        <v>head</v>
      </c>
      <c r="AD319" s="107" t="str">
        <f t="shared" si="58"/>
        <v>head</v>
      </c>
      <c r="AE319" s="107" t="str">
        <f t="shared" si="58"/>
        <v>head</v>
      </c>
      <c r="AF319" s="107" t="str">
        <f t="shared" si="58"/>
        <v>CFW</v>
      </c>
      <c r="AG319" s="107" t="str">
        <f t="shared" si="58"/>
        <v>mob</v>
      </c>
      <c r="AH319" s="84"/>
      <c r="AI319" s="66"/>
      <c r="AJ319" s="54"/>
      <c r="AK319" s="54"/>
      <c r="AL319" s="54"/>
    </row>
    <row r="320" spans="1:38" hidden="1" outlineLevel="3" x14ac:dyDescent="0.25">
      <c r="A320" s="54"/>
      <c r="B320" s="63"/>
      <c r="C320" s="98">
        <f t="shared" si="57"/>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7"/>
        <v>4</v>
      </c>
      <c r="D321" s="84"/>
      <c r="E321" s="79"/>
      <c r="F321" s="79"/>
      <c r="G321" s="84"/>
      <c r="H321" s="87" t="s">
        <v>428</v>
      </c>
      <c r="I321" s="87"/>
      <c r="J321" s="87"/>
      <c r="K321" s="87"/>
      <c r="L321" s="87"/>
      <c r="M321" s="87"/>
      <c r="N321" s="87"/>
      <c r="O321" s="87"/>
      <c r="P321" s="87"/>
      <c r="Q321" s="87"/>
      <c r="R321" s="87"/>
      <c r="S321" s="87"/>
      <c r="T321" s="247">
        <f t="shared" ref="T321:AF321" si="59">T$317*T$320</f>
        <v>2.5000000000000005E-3</v>
      </c>
      <c r="U321" s="247">
        <f t="shared" si="59"/>
        <v>1.3000000000000001E-2</v>
      </c>
      <c r="V321" s="247">
        <f t="shared" si="59"/>
        <v>0.4</v>
      </c>
      <c r="W321" s="247">
        <f t="shared" si="59"/>
        <v>0.4</v>
      </c>
      <c r="X321" s="247">
        <f t="shared" si="59"/>
        <v>0.5</v>
      </c>
      <c r="Y321" s="247">
        <f t="shared" si="59"/>
        <v>2.56</v>
      </c>
      <c r="Z321" s="247">
        <f t="shared" si="59"/>
        <v>0.25</v>
      </c>
      <c r="AA321" s="247">
        <f t="shared" si="59"/>
        <v>3.3000000000000002E-2</v>
      </c>
      <c r="AB321" s="247">
        <f t="shared" si="59"/>
        <v>1.95</v>
      </c>
      <c r="AC321" s="247">
        <f t="shared" si="59"/>
        <v>0</v>
      </c>
      <c r="AD321" s="247">
        <f t="shared" si="59"/>
        <v>0</v>
      </c>
      <c r="AE321" s="247">
        <f t="shared" si="59"/>
        <v>0</v>
      </c>
      <c r="AF321" s="247">
        <f t="shared" si="59"/>
        <v>6.2903225806451621E-2</v>
      </c>
      <c r="AG321" s="247">
        <f>AG317</f>
        <v>13.5</v>
      </c>
      <c r="AH321" s="84"/>
      <c r="AI321" s="66"/>
      <c r="AJ321" s="54"/>
      <c r="AK321" s="54"/>
      <c r="AL321" s="54"/>
    </row>
    <row r="322" spans="1:38" ht="33.75" hidden="1" outlineLevel="3" x14ac:dyDescent="0.25">
      <c r="A322" s="54"/>
      <c r="B322" s="63"/>
      <c r="C322" s="98">
        <f t="shared" si="57"/>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60">IF(T$313&lt;&gt;"",T$313,T$312)</f>
        <v>Abamectin</v>
      </c>
      <c r="U328" s="250" t="str">
        <f t="shared" si="60"/>
        <v>Q Drench</v>
      </c>
      <c r="V328" s="250" t="str">
        <f t="shared" si="60"/>
        <v>Se bullet</v>
      </c>
      <c r="W328" s="250" t="str">
        <f t="shared" si="60"/>
        <v>Co bullet</v>
      </c>
      <c r="X328" s="250" t="str">
        <f t="shared" si="60"/>
        <v>Glanvac 6S</v>
      </c>
      <c r="Y328" s="250" t="str">
        <f t="shared" si="60"/>
        <v>Gudair</v>
      </c>
      <c r="Z328" s="250" t="str">
        <f t="shared" si="60"/>
        <v>Sidney SP</v>
      </c>
      <c r="AA328" s="250" t="str">
        <f t="shared" si="60"/>
        <v>Rings</v>
      </c>
      <c r="AB328" s="250" t="str">
        <f t="shared" si="60"/>
        <v>Meloxicam</v>
      </c>
      <c r="AC328" s="250" t="str">
        <f t="shared" si="60"/>
        <v>Click</v>
      </c>
      <c r="AD328" s="250" t="str">
        <f t="shared" si="60"/>
        <v>Vetrazin</v>
      </c>
      <c r="AE328" s="250" t="str">
        <f t="shared" si="60"/>
        <v>Footrot treatment</v>
      </c>
      <c r="AF328" s="250" t="str">
        <f t="shared" si="60"/>
        <v>Wool packs</v>
      </c>
      <c r="AG328" s="250" t="str">
        <f t="shared" si="60"/>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61">T319</f>
        <v>LW</v>
      </c>
      <c r="U329" s="189" t="str">
        <f t="shared" si="61"/>
        <v>LW</v>
      </c>
      <c r="V329" s="189" t="str">
        <f t="shared" si="61"/>
        <v>head</v>
      </c>
      <c r="W329" s="189" t="str">
        <f t="shared" si="61"/>
        <v>head</v>
      </c>
      <c r="X329" s="189" t="str">
        <f t="shared" si="61"/>
        <v>head</v>
      </c>
      <c r="Y329" s="189" t="str">
        <f t="shared" si="61"/>
        <v>head</v>
      </c>
      <c r="Z329" s="189" t="str">
        <f t="shared" si="61"/>
        <v>head</v>
      </c>
      <c r="AA329" s="189" t="str">
        <f t="shared" si="61"/>
        <v>nyatf</v>
      </c>
      <c r="AB329" s="189" t="str">
        <f t="shared" si="61"/>
        <v>nyatf</v>
      </c>
      <c r="AC329" s="189" t="str">
        <f t="shared" si="61"/>
        <v>head</v>
      </c>
      <c r="AD329" s="189" t="str">
        <f t="shared" si="61"/>
        <v>head</v>
      </c>
      <c r="AE329" s="189" t="str">
        <f t="shared" si="61"/>
        <v>head</v>
      </c>
      <c r="AF329" s="189" t="str">
        <f t="shared" si="61"/>
        <v>CFW</v>
      </c>
      <c r="AG329" s="189" t="str">
        <f t="shared" si="61"/>
        <v>mob</v>
      </c>
      <c r="AH329" s="84"/>
      <c r="AI329" s="66"/>
      <c r="AJ329" s="54"/>
      <c r="AK329" s="54"/>
      <c r="AL329" s="54"/>
    </row>
    <row r="330" spans="1:38" hidden="1" outlineLevel="3" x14ac:dyDescent="0.25">
      <c r="A330" s="54"/>
      <c r="B330" s="63"/>
      <c r="C330" s="98">
        <f t="shared" ref="C330:C339" si="62">INT($C$279+3)</f>
        <v>4</v>
      </c>
      <c r="D330" s="84"/>
      <c r="E330" s="79"/>
      <c r="F330" s="79"/>
      <c r="G330" s="84"/>
      <c r="H330" s="116" t="s">
        <v>459</v>
      </c>
      <c r="I330" s="110">
        <v>1</v>
      </c>
      <c r="J330" s="226" t="str">
        <f t="shared" ref="J330:J356" si="63">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62"/>
        <v>4</v>
      </c>
      <c r="D331" s="84"/>
      <c r="E331" s="79"/>
      <c r="F331" s="79"/>
      <c r="G331" s="84"/>
      <c r="H331" s="87" t="s">
        <v>460</v>
      </c>
      <c r="I331" s="110">
        <v>1</v>
      </c>
      <c r="J331" s="107" t="str">
        <f t="shared" si="63"/>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62"/>
        <v>4</v>
      </c>
      <c r="D332" s="84"/>
      <c r="E332" s="79"/>
      <c r="F332" s="79"/>
      <c r="G332" s="84"/>
      <c r="H332" s="87" t="s">
        <v>461</v>
      </c>
      <c r="I332" s="110">
        <v>0</v>
      </c>
      <c r="J332" s="107" t="str">
        <f t="shared" si="63"/>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62"/>
        <v>4</v>
      </c>
      <c r="D333" s="84"/>
      <c r="E333" s="79"/>
      <c r="F333" s="79"/>
      <c r="G333" s="84"/>
      <c r="H333" s="87" t="s">
        <v>462</v>
      </c>
      <c r="I333" s="110">
        <v>1</v>
      </c>
      <c r="J333" s="107" t="str">
        <f t="shared" si="63"/>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62"/>
        <v>4</v>
      </c>
      <c r="D334" s="84"/>
      <c r="E334" s="79"/>
      <c r="F334" s="79"/>
      <c r="G334" s="84"/>
      <c r="H334" s="87" t="s">
        <v>463</v>
      </c>
      <c r="I334" s="110">
        <v>1</v>
      </c>
      <c r="J334" s="107" t="str">
        <f t="shared" si="63"/>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62"/>
        <v>4</v>
      </c>
      <c r="D335" s="84"/>
      <c r="E335" s="79"/>
      <c r="F335" s="79"/>
      <c r="G335" s="84"/>
      <c r="H335" s="87" t="s">
        <v>464</v>
      </c>
      <c r="I335" s="110">
        <v>1</v>
      </c>
      <c r="J335" s="107" t="str">
        <f t="shared" si="63"/>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62"/>
        <v>4</v>
      </c>
      <c r="D336" s="84"/>
      <c r="E336" s="79"/>
      <c r="F336" s="79"/>
      <c r="G336" s="84"/>
      <c r="H336" s="87" t="s">
        <v>465</v>
      </c>
      <c r="I336" s="110">
        <v>0</v>
      </c>
      <c r="J336" s="107" t="str">
        <f t="shared" si="63"/>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62"/>
        <v>4</v>
      </c>
      <c r="D337" s="84"/>
      <c r="E337" s="79"/>
      <c r="F337" s="79"/>
      <c r="G337" s="84"/>
      <c r="H337" s="87" t="s">
        <v>466</v>
      </c>
      <c r="I337" s="110">
        <v>0</v>
      </c>
      <c r="J337" s="107" t="str">
        <f t="shared" si="63"/>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62"/>
        <v>4</v>
      </c>
      <c r="D338" s="84"/>
      <c r="E338" s="79"/>
      <c r="F338" s="79"/>
      <c r="G338" s="84"/>
      <c r="H338" s="87" t="s">
        <v>467</v>
      </c>
      <c r="I338" s="110">
        <v>0</v>
      </c>
      <c r="J338" s="107" t="str">
        <f t="shared" si="63"/>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62"/>
        <v>4</v>
      </c>
      <c r="D339" s="84"/>
      <c r="E339" s="79"/>
      <c r="F339" s="79"/>
      <c r="G339" s="84"/>
      <c r="H339" s="87" t="s">
        <v>468</v>
      </c>
      <c r="I339" s="110">
        <v>0</v>
      </c>
      <c r="J339" s="107" t="str">
        <f t="shared" si="63"/>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63"/>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63"/>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63"/>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64">INT($C$279+3)</f>
        <v>4</v>
      </c>
      <c r="D343" s="84"/>
      <c r="E343" s="79"/>
      <c r="F343" s="79"/>
      <c r="G343" s="84"/>
      <c r="H343" s="87" t="s">
        <v>472</v>
      </c>
      <c r="I343" s="110">
        <v>0</v>
      </c>
      <c r="J343" s="107" t="str">
        <f t="shared" si="63"/>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64"/>
        <v>4</v>
      </c>
      <c r="D344" s="84"/>
      <c r="E344" s="79"/>
      <c r="F344" s="79"/>
      <c r="G344" s="84"/>
      <c r="H344" s="87" t="s">
        <v>473</v>
      </c>
      <c r="I344" s="110">
        <v>5</v>
      </c>
      <c r="J344" s="107" t="str">
        <f t="shared" si="63"/>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64"/>
        <v>4</v>
      </c>
      <c r="D345" s="84"/>
      <c r="E345" s="79"/>
      <c r="F345" s="79"/>
      <c r="G345" s="84"/>
      <c r="H345" s="87" t="s">
        <v>474</v>
      </c>
      <c r="I345" s="110">
        <v>5</v>
      </c>
      <c r="J345" s="107" t="str">
        <f t="shared" si="63"/>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64"/>
        <v>4</v>
      </c>
      <c r="D346" s="84"/>
      <c r="E346" s="79"/>
      <c r="F346" s="79"/>
      <c r="G346" s="84"/>
      <c r="H346" s="87" t="s">
        <v>475</v>
      </c>
      <c r="I346" s="110">
        <v>0</v>
      </c>
      <c r="J346" s="107" t="str">
        <f t="shared" si="63"/>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64"/>
        <v>4</v>
      </c>
      <c r="D347" s="84"/>
      <c r="E347" s="79"/>
      <c r="F347" s="79"/>
      <c r="G347" s="84"/>
      <c r="H347" s="87" t="s">
        <v>476</v>
      </c>
      <c r="I347" s="110">
        <v>0</v>
      </c>
      <c r="J347" s="107" t="str">
        <f t="shared" si="63"/>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64"/>
        <v>4</v>
      </c>
      <c r="D348" s="84"/>
      <c r="E348" s="79"/>
      <c r="F348" s="79"/>
      <c r="G348" s="84"/>
      <c r="H348" s="87" t="s">
        <v>477</v>
      </c>
      <c r="I348" s="110">
        <v>0</v>
      </c>
      <c r="J348" s="107" t="str">
        <f t="shared" si="63"/>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64"/>
        <v>4</v>
      </c>
      <c r="D349" s="84"/>
      <c r="E349" s="79"/>
      <c r="F349" s="79"/>
      <c r="G349" s="84"/>
      <c r="H349" s="87" t="s">
        <v>478</v>
      </c>
      <c r="I349" s="110">
        <v>1</v>
      </c>
      <c r="J349" s="107" t="str">
        <f t="shared" si="63"/>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64"/>
        <v>4</v>
      </c>
      <c r="D350" s="84"/>
      <c r="E350" s="79"/>
      <c r="F350" s="79"/>
      <c r="G350" s="84"/>
      <c r="H350" s="87" t="s">
        <v>479</v>
      </c>
      <c r="I350" s="110">
        <v>1</v>
      </c>
      <c r="J350" s="107" t="str">
        <f t="shared" si="63"/>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64"/>
        <v>4</v>
      </c>
      <c r="D351" s="84"/>
      <c r="E351" s="79"/>
      <c r="F351" s="79"/>
      <c r="G351" s="84"/>
      <c r="H351" s="87" t="s">
        <v>480</v>
      </c>
      <c r="I351" s="110">
        <v>0</v>
      </c>
      <c r="J351" s="107" t="str">
        <f t="shared" si="63"/>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64"/>
        <v>4</v>
      </c>
      <c r="D352" s="84"/>
      <c r="E352" s="79"/>
      <c r="F352" s="79"/>
      <c r="G352" s="84"/>
      <c r="H352" s="87" t="s">
        <v>481</v>
      </c>
      <c r="I352" s="110">
        <v>1</v>
      </c>
      <c r="J352" s="107" t="str">
        <f t="shared" si="63"/>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64"/>
        <v>4</v>
      </c>
      <c r="D353" s="84"/>
      <c r="E353" s="79"/>
      <c r="F353" s="79"/>
      <c r="G353" s="84"/>
      <c r="H353" s="87" t="s">
        <v>482</v>
      </c>
      <c r="I353" s="110">
        <v>0</v>
      </c>
      <c r="J353" s="107" t="str">
        <f t="shared" si="63"/>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64"/>
        <v>4</v>
      </c>
      <c r="D354" s="84"/>
      <c r="E354" s="79"/>
      <c r="F354" s="79"/>
      <c r="G354" s="84"/>
      <c r="H354" s="87" t="s">
        <v>483</v>
      </c>
      <c r="I354" s="110">
        <v>2</v>
      </c>
      <c r="J354" s="107" t="str">
        <f t="shared" si="63"/>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64"/>
        <v>4</v>
      </c>
      <c r="D355" s="84"/>
      <c r="E355" s="79"/>
      <c r="F355" s="79"/>
      <c r="G355" s="84"/>
      <c r="H355" s="87" t="s">
        <v>484</v>
      </c>
      <c r="I355" s="110">
        <v>2</v>
      </c>
      <c r="J355" s="107" t="str">
        <f t="shared" si="63"/>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64"/>
        <v>4</v>
      </c>
      <c r="D356" s="84"/>
      <c r="E356" s="79"/>
      <c r="F356" s="79"/>
      <c r="G356" s="84"/>
      <c r="H356" s="87" t="s">
        <v>485</v>
      </c>
      <c r="I356" s="110">
        <v>2</v>
      </c>
      <c r="J356" s="107" t="str">
        <f t="shared" si="63"/>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64"/>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64"/>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64"/>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64"/>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64"/>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65">INT($C$373)+3</f>
        <v>4</v>
      </c>
      <c r="D389" s="84"/>
      <c r="E389" s="79"/>
      <c r="F389" s="79"/>
      <c r="G389" s="84"/>
      <c r="H389" s="342" t="s">
        <v>504</v>
      </c>
      <c r="I389" s="226">
        <v>2</v>
      </c>
      <c r="J389" s="90" t="b">
        <v>1</v>
      </c>
      <c r="K389" s="90" t="b">
        <v>1</v>
      </c>
      <c r="L389" s="90" t="b">
        <v>0</v>
      </c>
      <c r="M389" s="90">
        <v>1</v>
      </c>
      <c r="N389" s="110">
        <v>1</v>
      </c>
      <c r="O389" s="110">
        <v>1</v>
      </c>
      <c r="P389" s="110">
        <v>1</v>
      </c>
      <c r="Q389" s="110">
        <v>1</v>
      </c>
      <c r="R389" s="363">
        <v>0</v>
      </c>
      <c r="S389" s="363">
        <v>0</v>
      </c>
      <c r="T389" s="110">
        <v>1</v>
      </c>
      <c r="U389" s="110">
        <v>1</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65"/>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65"/>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65"/>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65"/>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65"/>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65"/>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65"/>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65"/>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65"/>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65"/>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65"/>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65"/>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65"/>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65"/>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66">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66"/>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M333"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413" t="s">
        <v>2463</v>
      </c>
      <c r="K18" s="414"/>
      <c r="L18" s="414"/>
      <c r="M18" s="414"/>
      <c r="N18" s="414"/>
      <c r="O18" s="414"/>
      <c r="P18" s="414"/>
      <c r="Q18" s="414"/>
      <c r="R18" s="414"/>
      <c r="S18" s="414"/>
      <c r="T18" s="414"/>
      <c r="U18" s="414"/>
      <c r="V18" s="414"/>
      <c r="W18" s="414"/>
      <c r="X18" s="414"/>
      <c r="Y18" s="414"/>
      <c r="Z18" s="414"/>
      <c r="AA18" s="414"/>
      <c r="AB18" s="415"/>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44322.753022338002</v>
      </c>
      <c r="J21" s="416" t="s">
        <v>2485</v>
      </c>
      <c r="K21" s="417"/>
      <c r="L21" s="417"/>
      <c r="M21" s="417"/>
      <c r="N21" s="417"/>
      <c r="O21" s="417"/>
      <c r="P21" s="417"/>
      <c r="Q21" s="417"/>
      <c r="R21" s="417"/>
      <c r="S21" s="417"/>
      <c r="T21" s="417"/>
      <c r="U21" s="417"/>
      <c r="V21" s="417"/>
      <c r="W21" s="417"/>
      <c r="X21" s="417"/>
      <c r="Y21" s="417"/>
      <c r="Z21" s="417"/>
      <c r="AA21" s="417"/>
      <c r="AB21" s="418"/>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2466</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2467</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2482</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811</v>
      </c>
      <c r="G190" s="84"/>
      <c r="H190" s="87" t="s">
        <v>812</v>
      </c>
      <c r="I190" s="107" t="s">
        <v>2481</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959</v>
      </c>
      <c r="G260" s="84"/>
      <c r="H260" s="87" t="s">
        <v>2479</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965</v>
      </c>
      <c r="G262" s="84"/>
      <c r="H262" s="87" t="s">
        <v>2480</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1092</v>
      </c>
      <c r="G316" s="84"/>
      <c r="H316" s="87" t="s">
        <v>1093</v>
      </c>
      <c r="I316" s="107" t="s">
        <v>2464</v>
      </c>
      <c r="J316" s="107"/>
      <c r="K316" s="108">
        <v>23.8</v>
      </c>
      <c r="L316" s="108">
        <v>23.8</v>
      </c>
      <c r="M316" s="108">
        <v>23.8</v>
      </c>
      <c r="N316" s="108">
        <v>23.8</v>
      </c>
      <c r="O316" s="108">
        <v>23.8</v>
      </c>
      <c r="P316" s="108">
        <v>23.8</v>
      </c>
      <c r="Q316" s="87"/>
      <c r="R316" s="87" t="s">
        <v>2465</v>
      </c>
      <c r="S316" s="87" t="s">
        <v>2465</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1094</v>
      </c>
      <c r="G317" s="84"/>
      <c r="H317" s="87" t="s">
        <v>1095</v>
      </c>
      <c r="I317" s="107" t="s">
        <v>2464</v>
      </c>
      <c r="J317" s="107"/>
      <c r="K317" s="108">
        <v>39.6</v>
      </c>
      <c r="L317" s="108">
        <v>39.6</v>
      </c>
      <c r="M317" s="108">
        <v>39.6</v>
      </c>
      <c r="N317" s="108">
        <v>39.6</v>
      </c>
      <c r="O317" s="108">
        <v>39.6</v>
      </c>
      <c r="P317" s="108">
        <v>39.6</v>
      </c>
      <c r="Q317" s="87"/>
      <c r="R317" s="87" t="s">
        <v>2465</v>
      </c>
      <c r="S317" s="87" t="s">
        <v>2465</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1125</v>
      </c>
      <c r="G334" s="84"/>
      <c r="H334" s="87" t="s">
        <v>1126</v>
      </c>
      <c r="I334" s="107" t="s">
        <v>2458</v>
      </c>
      <c r="J334" s="107"/>
      <c r="K334" s="316">
        <f>0.03/365</f>
        <v>8.219178082191781E-5</v>
      </c>
      <c r="L334" s="316">
        <f>0.03/365</f>
        <v>8.219178082191781E-5</v>
      </c>
      <c r="M334" s="316">
        <v>5.5300000000000002E-5</v>
      </c>
      <c r="N334" s="316">
        <v>5.5300000000000002E-5</v>
      </c>
      <c r="O334" s="316">
        <v>5.5300000000000002E-5</v>
      </c>
      <c r="P334" s="316">
        <v>5.5300000000000002E-5</v>
      </c>
      <c r="Q334" s="87"/>
      <c r="R334" s="87" t="s">
        <v>2484</v>
      </c>
      <c r="S334" s="87" t="s">
        <v>659</v>
      </c>
      <c r="T334" s="87"/>
      <c r="U334" s="309">
        <f t="shared" ref="U334:AB336" si="45">INDEX($K334:$Q334,1,U$54)</f>
        <v>8.219178082191781E-5</v>
      </c>
      <c r="V334" s="309">
        <f t="shared" si="45"/>
        <v>8.219178082191781E-5</v>
      </c>
      <c r="W334" s="309">
        <f t="shared" si="45"/>
        <v>8.219178082191781E-5</v>
      </c>
      <c r="X334" s="309">
        <f t="shared" si="45"/>
        <v>8.219178082191781E-5</v>
      </c>
      <c r="Y334" s="309">
        <f t="shared" si="45"/>
        <v>8.219178082191781E-5</v>
      </c>
      <c r="Z334" s="309">
        <f t="shared" si="45"/>
        <v>8.219178082191781E-5</v>
      </c>
      <c r="AA334" s="309">
        <f t="shared" si="45"/>
        <v>8.219178082191781E-5</v>
      </c>
      <c r="AB334" s="309">
        <f t="shared" si="45"/>
        <v>8.219178082191781E-5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1160</v>
      </c>
      <c r="G350" s="84"/>
      <c r="H350" s="87" t="s">
        <v>1161</v>
      </c>
      <c r="I350" s="107" t="s">
        <v>610</v>
      </c>
      <c r="J350" s="107"/>
      <c r="K350" s="108">
        <v>0.5</v>
      </c>
      <c r="L350" s="108">
        <v>0.5</v>
      </c>
      <c r="M350" s="108"/>
      <c r="N350" s="108"/>
      <c r="O350" s="108"/>
      <c r="P350" s="108"/>
      <c r="Q350" s="87"/>
      <c r="R350" s="87" t="s">
        <v>558</v>
      </c>
      <c r="S350" s="87"/>
      <c r="T350" s="87"/>
      <c r="U350" s="309">
        <f t="shared" si="49"/>
        <v>0.5</v>
      </c>
      <c r="V350" s="309">
        <f t="shared" si="49"/>
        <v>0.5</v>
      </c>
      <c r="W350" s="309">
        <f t="shared" si="49"/>
        <v>0.5</v>
      </c>
      <c r="X350" s="309">
        <f t="shared" si="49"/>
        <v>0.5</v>
      </c>
      <c r="Y350" s="309">
        <f t="shared" si="49"/>
        <v>0.5</v>
      </c>
      <c r="Z350" s="309">
        <f t="shared" si="49"/>
        <v>0.5</v>
      </c>
      <c r="AA350" s="309">
        <f t="shared" si="49"/>
        <v>0.5</v>
      </c>
      <c r="AB350" s="309">
        <f t="shared" si="49"/>
        <v>0.5</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0.85</v>
      </c>
      <c r="V356" s="108">
        <v>0.85</v>
      </c>
      <c r="W356" s="108">
        <v>0.85</v>
      </c>
      <c r="X356" s="108">
        <v>0.85</v>
      </c>
      <c r="Y356" s="108">
        <v>0.85</v>
      </c>
      <c r="Z356" s="108">
        <v>0.85</v>
      </c>
      <c r="AA356" s="108">
        <v>0.85</v>
      </c>
      <c r="AB356" s="108">
        <v>0.85</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1189</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hidden="1"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hidden="1"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hidden="1"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hidden="1"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hidden="1"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hidden="1"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hidden="1"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hidden="1"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hidden="1"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hidden="1"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410" t="s">
        <v>2475</v>
      </c>
      <c r="K18" s="406"/>
      <c r="L18" s="406"/>
      <c r="M18" s="406"/>
      <c r="N18" s="406"/>
      <c r="O18" s="406"/>
      <c r="P18" s="406"/>
      <c r="Q18" s="406"/>
      <c r="R18" s="406"/>
      <c r="S18" s="406"/>
      <c r="T18" s="406"/>
      <c r="U18" s="406"/>
      <c r="V18" s="406"/>
      <c r="W18" s="406"/>
      <c r="X18" s="40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407" t="s">
        <v>2478</v>
      </c>
      <c r="K21" s="408"/>
      <c r="L21" s="408"/>
      <c r="M21" s="408"/>
      <c r="N21" s="408"/>
      <c r="O21" s="408"/>
      <c r="P21" s="408"/>
      <c r="Q21" s="408"/>
      <c r="R21" s="408"/>
      <c r="S21" s="408"/>
      <c r="T21" s="408"/>
      <c r="U21" s="408"/>
      <c r="V21" s="408"/>
      <c r="W21" s="408"/>
      <c r="X21" s="40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2477</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2468</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2469</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2470</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2473</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2474</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2471</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2468</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2469</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2470</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2473</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2474</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2472</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2468</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2469</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2470</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2473</v>
      </c>
      <c r="I81" s="374"/>
      <c r="J81" s="374"/>
      <c r="K81" s="375">
        <v>-200</v>
      </c>
      <c r="L81" s="375"/>
      <c r="M81" s="375"/>
      <c r="N81" s="375"/>
      <c r="O81" s="374"/>
      <c r="P81" s="374"/>
      <c r="Q81" s="374"/>
      <c r="R81" s="108" t="s">
        <v>2476</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2474</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2468</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2469</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2470</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2473</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2474</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2468</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2469</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2470</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2473</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2474</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2468</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2469</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2470</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2473</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2474</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2468</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2469</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2470</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2473</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2474</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2468</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2469</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2470</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2473</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2474</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2468</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2469</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2470</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2473</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2474</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2021-05-13T12:28:12Z</dcterms:modified>
</cp:coreProperties>
</file>