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6721D47E-6817-41E6-B7DD-FAC2101C1AD5}" xr6:coauthVersionLast="46" xr6:coauthVersionMax="46" xr10:uidLastSave="{00000000-0000-0000-0000-000000000000}"/>
  <bookViews>
    <workbookView xWindow="-120" yWindow="-120" windowWidth="29040" windowHeight="15840" activeTab="5"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Sheep!$AE$169:$AE$176</definedName>
    <definedName name="i_sale_cost_pc_s7">Sheep!$AF$169:$AF$176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iterateCount="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X1014" i="14"/>
  <c r="Y1014" i="14" s="1"/>
  <c r="Z1014" i="14" s="1"/>
  <c r="AA1014" i="14" s="1"/>
  <c r="AB1014" i="14" s="1"/>
  <c r="W1014" i="14"/>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U995" i="14"/>
  <c r="U994" i="14" s="1"/>
  <c r="C995" i="14"/>
  <c r="AG994" i="14"/>
  <c r="AF994" i="14"/>
  <c r="V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V970" i="14" s="1"/>
  <c r="U971" i="14"/>
  <c r="U970" i="14" s="1"/>
  <c r="C971" i="14"/>
  <c r="AG970" i="14"/>
  <c r="AF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Z764" i="14"/>
  <c r="Z682" i="14" s="1"/>
  <c r="V764" i="14"/>
  <c r="W764" i="14" s="1"/>
  <c r="C764" i="14"/>
  <c r="Z763" i="14"/>
  <c r="AA763" i="14" s="1"/>
  <c r="V763" i="14"/>
  <c r="W763" i="14" s="1"/>
  <c r="C763" i="14"/>
  <c r="Z762" i="14"/>
  <c r="Z678" i="14" s="1"/>
  <c r="V762" i="14"/>
  <c r="W762" i="14" s="1"/>
  <c r="C762" i="14"/>
  <c r="C761" i="14"/>
  <c r="AB760" i="14"/>
  <c r="AB676" i="14" s="1"/>
  <c r="AA760" i="14"/>
  <c r="AA676" i="14" s="1"/>
  <c r="Z760" i="14"/>
  <c r="Z676" i="14" s="1"/>
  <c r="Y760" i="14"/>
  <c r="Y674" i="14" s="1"/>
  <c r="X760" i="14"/>
  <c r="X674" i="14" s="1"/>
  <c r="W760" i="14"/>
  <c r="W677" i="14" s="1"/>
  <c r="V760" i="14"/>
  <c r="V674" i="14" s="1"/>
  <c r="U760" i="14"/>
  <c r="U677" i="14" s="1"/>
  <c r="C760" i="14"/>
  <c r="AB759" i="14"/>
  <c r="AB675" i="14" s="1"/>
  <c r="AA759" i="14"/>
  <c r="AA675" i="14" s="1"/>
  <c r="Z759" i="14"/>
  <c r="Z675" i="14" s="1"/>
  <c r="Y759" i="14"/>
  <c r="Y673" i="14" s="1"/>
  <c r="X759" i="14"/>
  <c r="X675" i="14" s="1"/>
  <c r="W759" i="14"/>
  <c r="W675" i="14" s="1"/>
  <c r="V759" i="14"/>
  <c r="V675" i="14" s="1"/>
  <c r="U759" i="14"/>
  <c r="U675" i="14" s="1"/>
  <c r="C759" i="14"/>
  <c r="AB758" i="14"/>
  <c r="AB672" i="14" s="1"/>
  <c r="AA758" i="14"/>
  <c r="AA672" i="14" s="1"/>
  <c r="Z758" i="14"/>
  <c r="Z672" i="14" s="1"/>
  <c r="Y758" i="14"/>
  <c r="Y672" i="14" s="1"/>
  <c r="X758" i="14"/>
  <c r="X672" i="14" s="1"/>
  <c r="W758" i="14"/>
  <c r="W672" i="14" s="1"/>
  <c r="V758" i="14"/>
  <c r="V672" i="14" s="1"/>
  <c r="U758" i="14"/>
  <c r="U672" i="14" s="1"/>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W634" i="14" s="1"/>
  <c r="V732" i="14"/>
  <c r="V634" i="14" s="1"/>
  <c r="U732" i="14"/>
  <c r="U634" i="14" s="1"/>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U694" i="14"/>
  <c r="U695" i="14" s="1"/>
  <c r="C694" i="14"/>
  <c r="V693" i="14"/>
  <c r="V694" i="14" s="1"/>
  <c r="V695" i="14" s="1"/>
  <c r="U693" i="14"/>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U683" i="14"/>
  <c r="C683" i="14"/>
  <c r="A683" i="14"/>
  <c r="AG682" i="14"/>
  <c r="AF682" i="14"/>
  <c r="Y682" i="14"/>
  <c r="U682" i="14"/>
  <c r="C682" i="14"/>
  <c r="AG681" i="14"/>
  <c r="AF681" i="14"/>
  <c r="Y681" i="14"/>
  <c r="V681" i="14"/>
  <c r="U681" i="14"/>
  <c r="C681" i="14"/>
  <c r="AG680" i="14"/>
  <c r="AF680" i="14"/>
  <c r="Y680" i="14"/>
  <c r="U680" i="14"/>
  <c r="C680" i="14"/>
  <c r="AG679" i="14"/>
  <c r="AF679" i="14"/>
  <c r="Y679" i="14"/>
  <c r="U679" i="14"/>
  <c r="C679" i="14"/>
  <c r="AG678" i="14"/>
  <c r="AF678" i="14"/>
  <c r="Y678" i="14"/>
  <c r="V678" i="14"/>
  <c r="U678" i="14"/>
  <c r="C678" i="14"/>
  <c r="AG677" i="14"/>
  <c r="AF677" i="14"/>
  <c r="AB677" i="14"/>
  <c r="AA677" i="14"/>
  <c r="C677" i="14"/>
  <c r="A677" i="14"/>
  <c r="AG676" i="14"/>
  <c r="AF676" i="14"/>
  <c r="C676" i="14"/>
  <c r="AG675" i="14"/>
  <c r="AF675" i="14"/>
  <c r="C675" i="14"/>
  <c r="AG674" i="14"/>
  <c r="AF674" i="14"/>
  <c r="AA674" i="14"/>
  <c r="Z674" i="14"/>
  <c r="W674" i="14"/>
  <c r="U674" i="14"/>
  <c r="C674" i="14"/>
  <c r="AG673" i="14"/>
  <c r="AF673" i="14"/>
  <c r="AB673" i="14"/>
  <c r="AA673" i="14"/>
  <c r="Z673" i="14"/>
  <c r="X673" i="14"/>
  <c r="W673" i="14"/>
  <c r="C673" i="14"/>
  <c r="AG672" i="14"/>
  <c r="AF672" i="14"/>
  <c r="C672" i="14"/>
  <c r="C671" i="14"/>
  <c r="A671" i="14"/>
  <c r="C670" i="14"/>
  <c r="C669" i="14"/>
  <c r="C668" i="14"/>
  <c r="C667" i="14"/>
  <c r="C666" i="14"/>
  <c r="X665" i="14"/>
  <c r="Y665" i="14" s="1"/>
  <c r="Z665" i="14" s="1"/>
  <c r="AA665" i="14" s="1"/>
  <c r="AB665" i="14" s="1"/>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V635" i="14"/>
  <c r="C635" i="14"/>
  <c r="A635" i="14"/>
  <c r="AG634" i="14"/>
  <c r="AF634" i="14"/>
  <c r="C634" i="14"/>
  <c r="AG633" i="14"/>
  <c r="AF633" i="14"/>
  <c r="W633" i="14"/>
  <c r="V633" i="14"/>
  <c r="U633" i="14"/>
  <c r="C633" i="14"/>
  <c r="AG632" i="14"/>
  <c r="AF632" i="14"/>
  <c r="C632" i="14"/>
  <c r="AG631" i="14"/>
  <c r="AF631" i="14"/>
  <c r="W631" i="14"/>
  <c r="V631" i="14"/>
  <c r="U631" i="14"/>
  <c r="C631" i="14"/>
  <c r="AG630" i="14"/>
  <c r="AF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X573" i="14"/>
  <c r="Y573" i="14" s="1"/>
  <c r="Z573" i="14" s="1"/>
  <c r="AA573" i="14" s="1"/>
  <c r="AB573" i="14" s="1"/>
  <c r="C573" i="14"/>
  <c r="X572" i="14"/>
  <c r="Y572" i="14" s="1"/>
  <c r="Z572" i="14" s="1"/>
  <c r="AA572" i="14" s="1"/>
  <c r="AB572" i="14" s="1"/>
  <c r="C572" i="14"/>
  <c r="C571" i="14"/>
  <c r="X570" i="14"/>
  <c r="Y570" i="14" s="1"/>
  <c r="Z570" i="14" s="1"/>
  <c r="AA570" i="14" s="1"/>
  <c r="AB570" i="14" s="1"/>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Y562" i="14"/>
  <c r="Z562" i="14" s="1"/>
  <c r="AA562" i="14" s="1"/>
  <c r="AB562" i="14" s="1"/>
  <c r="X562" i="14"/>
  <c r="C562" i="14"/>
  <c r="Z561" i="14"/>
  <c r="AA561" i="14" s="1"/>
  <c r="AB561" i="14" s="1"/>
  <c r="X561" i="14"/>
  <c r="C561" i="14"/>
  <c r="Z560" i="14"/>
  <c r="AA560" i="14" s="1"/>
  <c r="AB560" i="14" s="1"/>
  <c r="X560" i="14"/>
  <c r="C560" i="14"/>
  <c r="Y559" i="14"/>
  <c r="Z559" i="14" s="1"/>
  <c r="AA559" i="14" s="1"/>
  <c r="AB559" i="14" s="1"/>
  <c r="X559" i="14"/>
  <c r="C559" i="14"/>
  <c r="Z558" i="14"/>
  <c r="AA558" i="14" s="1"/>
  <c r="AB558" i="14" s="1"/>
  <c r="X558" i="14"/>
  <c r="C558" i="14"/>
  <c r="Z557" i="14"/>
  <c r="AA557" i="14" s="1"/>
  <c r="AB557" i="14" s="1"/>
  <c r="X557" i="14"/>
  <c r="C557" i="14"/>
  <c r="P556" i="14"/>
  <c r="O556" i="14"/>
  <c r="N556" i="14"/>
  <c r="M556" i="14"/>
  <c r="C556" i="14"/>
  <c r="Y555" i="14"/>
  <c r="L555" i="14"/>
  <c r="AA555" i="14" s="1"/>
  <c r="K555" i="14"/>
  <c r="W555" i="14" s="1"/>
  <c r="C555" i="14"/>
  <c r="AB554" i="14"/>
  <c r="W554" i="14"/>
  <c r="V554" i="14"/>
  <c r="U554" i="14"/>
  <c r="L554" i="14"/>
  <c r="K554" i="14"/>
  <c r="K556" i="14" s="1"/>
  <c r="C554" i="14"/>
  <c r="C553" i="14"/>
  <c r="C552" i="14"/>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Y488" i="14"/>
  <c r="Z488" i="14" s="1"/>
  <c r="AA488" i="14" s="1"/>
  <c r="AB488" i="14" s="1"/>
  <c r="X488" i="14"/>
  <c r="C488" i="14"/>
  <c r="X487" i="14"/>
  <c r="Y487" i="14" s="1"/>
  <c r="Z487" i="14" s="1"/>
  <c r="AA487" i="14" s="1"/>
  <c r="AB487" i="14" s="1"/>
  <c r="C487" i="14"/>
  <c r="X486" i="14"/>
  <c r="Y486" i="14" s="1"/>
  <c r="Z486" i="14" s="1"/>
  <c r="AA486" i="14" s="1"/>
  <c r="AB486" i="14" s="1"/>
  <c r="C486" i="14"/>
  <c r="X485" i="14"/>
  <c r="Y485" i="14" s="1"/>
  <c r="Z485" i="14" s="1"/>
  <c r="AA485" i="14" s="1"/>
  <c r="AB485" i="14" s="1"/>
  <c r="C485" i="14"/>
  <c r="X484" i="14"/>
  <c r="Y484" i="14" s="1"/>
  <c r="Z484" i="14" s="1"/>
  <c r="AA484" i="14" s="1"/>
  <c r="AB484" i="14" s="1"/>
  <c r="C484" i="14"/>
  <c r="C483" i="14"/>
  <c r="C482" i="14"/>
  <c r="C481" i="14"/>
  <c r="C480" i="14"/>
  <c r="C479" i="14"/>
  <c r="C478" i="14"/>
  <c r="C477" i="14"/>
  <c r="C476" i="14"/>
  <c r="C475" i="14"/>
  <c r="C474" i="14"/>
  <c r="C473" i="14"/>
  <c r="C472" i="14"/>
  <c r="C471" i="14"/>
  <c r="C470" i="14"/>
  <c r="C469" i="14"/>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Y95" i="14"/>
  <c r="Z95" i="14" s="1"/>
  <c r="AA95" i="14" s="1"/>
  <c r="AB95" i="14" s="1"/>
  <c r="X95" i="14"/>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U75" i="14"/>
  <c r="V75" i="14" s="1"/>
  <c r="W75" i="14" s="1"/>
  <c r="X75" i="14" s="1"/>
  <c r="Y75" i="14" s="1"/>
  <c r="Z75" i="14" s="1"/>
  <c r="AA75" i="14" s="1"/>
  <c r="AB75" i="14" s="1"/>
  <c r="C75" i="14"/>
  <c r="U74" i="14"/>
  <c r="V74" i="14" s="1"/>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F321" i="13" s="1"/>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78" i="13" s="1"/>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AA238" i="13" s="1"/>
  <c r="L238" i="13"/>
  <c r="K238" i="13"/>
  <c r="K214" i="13" s="1"/>
  <c r="J238" i="13"/>
  <c r="I238" i="13"/>
  <c r="C238" i="13"/>
  <c r="C237" i="13"/>
  <c r="C236" i="13"/>
  <c r="C235" i="13"/>
  <c r="Z234" i="13"/>
  <c r="C234" i="13"/>
  <c r="C233" i="13"/>
  <c r="H232" i="13"/>
  <c r="F232" i="13"/>
  <c r="F233" i="13" s="1"/>
  <c r="H233" i="13" s="1"/>
  <c r="C232" i="13"/>
  <c r="C231" i="13"/>
  <c r="C230" i="13"/>
  <c r="C229" i="13"/>
  <c r="C228" i="13"/>
  <c r="C227" i="13"/>
  <c r="K226" i="13"/>
  <c r="K227" i="13" s="1"/>
  <c r="K228" i="13" s="1"/>
  <c r="C226" i="13"/>
  <c r="N225" i="13"/>
  <c r="N226" i="13" s="1"/>
  <c r="N227" i="13" s="1"/>
  <c r="M225" i="13"/>
  <c r="M226" i="13" s="1"/>
  <c r="M227" i="13" s="1"/>
  <c r="L225" i="13"/>
  <c r="L226" i="13" s="1"/>
  <c r="L227" i="13" s="1"/>
  <c r="K225" i="13"/>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L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F176" i="13"/>
  <c r="AE176" i="13"/>
  <c r="V176" i="13"/>
  <c r="C176" i="13"/>
  <c r="AF175" i="13"/>
  <c r="AE175" i="13"/>
  <c r="T175" i="13"/>
  <c r="R175" i="13"/>
  <c r="V175" i="13" s="1"/>
  <c r="C175" i="13"/>
  <c r="AF174" i="13"/>
  <c r="AE174" i="13"/>
  <c r="V174" i="13"/>
  <c r="C174" i="13"/>
  <c r="AF173" i="13"/>
  <c r="AE173" i="13"/>
  <c r="V173" i="13"/>
  <c r="C173" i="13"/>
  <c r="AF172" i="13"/>
  <c r="AE172" i="13"/>
  <c r="V172" i="13"/>
  <c r="C172" i="13"/>
  <c r="AF171" i="13"/>
  <c r="AE171" i="13"/>
  <c r="T171" i="13"/>
  <c r="R171" i="13"/>
  <c r="V171" i="13" s="1"/>
  <c r="C171" i="13"/>
  <c r="AF170" i="13"/>
  <c r="AE170" i="13"/>
  <c r="T170" i="13"/>
  <c r="R170" i="13"/>
  <c r="V170" i="13" s="1"/>
  <c r="C170" i="13"/>
  <c r="AF169" i="13"/>
  <c r="AE169" i="13"/>
  <c r="T169" i="13"/>
  <c r="R169" i="13"/>
  <c r="V169" i="13" s="1"/>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J127" i="13" s="1"/>
  <c r="AC103" i="13" s="1"/>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Z106" i="13"/>
  <c r="Z107" i="13" s="1"/>
  <c r="Z108" i="13" s="1"/>
  <c r="Z109" i="13" s="1"/>
  <c r="Q106" i="13"/>
  <c r="Q107" i="13" s="1"/>
  <c r="Q108" i="13" s="1"/>
  <c r="Q109" i="13" s="1"/>
  <c r="Q110" i="13" s="1"/>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M105" i="13"/>
  <c r="M106" i="13" s="1"/>
  <c r="M107" i="13" s="1"/>
  <c r="M108" i="13" s="1"/>
  <c r="M109" i="13" s="1"/>
  <c r="M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N103" i="13"/>
  <c r="N102" i="13" s="1"/>
  <c r="N101" i="13" s="1"/>
  <c r="M103" i="13"/>
  <c r="M102" i="13" s="1"/>
  <c r="M101" i="13" s="1"/>
  <c r="L103" i="13"/>
  <c r="L102" i="13" s="1"/>
  <c r="L101" i="13" s="1"/>
  <c r="K103" i="13"/>
  <c r="K102" i="13" s="1"/>
  <c r="K101" i="13" s="1"/>
  <c r="J103" i="13"/>
  <c r="F103" i="13" s="1"/>
  <c r="I103" i="13"/>
  <c r="C103" i="13"/>
  <c r="AT102" i="13"/>
  <c r="AS102" i="13"/>
  <c r="AR102" i="13"/>
  <c r="AF102" i="13"/>
  <c r="AF101" i="13" s="1"/>
  <c r="AE102" i="13"/>
  <c r="AE101" i="13" s="1"/>
  <c r="AD102" i="13"/>
  <c r="AD101" i="13" s="1"/>
  <c r="I102" i="13"/>
  <c r="C102" i="13"/>
  <c r="I101" i="13"/>
  <c r="C101" i="13"/>
  <c r="AF100" i="13"/>
  <c r="AO100" i="13" s="1"/>
  <c r="AT100" i="13" s="1"/>
  <c r="AE100" i="13"/>
  <c r="AN100" i="13" s="1"/>
  <c r="AS100" i="13" s="1"/>
  <c r="AD100" i="13"/>
  <c r="AM100" i="13" s="1"/>
  <c r="AR100" i="13" s="1"/>
  <c r="C100" i="13"/>
  <c r="AR99" i="13"/>
  <c r="C99" i="13"/>
  <c r="C98" i="13"/>
  <c r="C97" i="13"/>
  <c r="C85" i="13" s="1"/>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236" i="13" l="1"/>
  <c r="P103" i="13"/>
  <c r="P102" i="13" s="1"/>
  <c r="P101" i="13" s="1"/>
  <c r="M214" i="13"/>
  <c r="S233" i="13"/>
  <c r="R103" i="13"/>
  <c r="R102" i="13" s="1"/>
  <c r="R101" i="13" s="1"/>
  <c r="C49" i="13"/>
  <c r="C162" i="13"/>
  <c r="C15" i="13"/>
  <c r="P105" i="13"/>
  <c r="P106" i="13" s="1"/>
  <c r="P107" i="13" s="1"/>
  <c r="P108" i="13" s="1"/>
  <c r="P109" i="13" s="1"/>
  <c r="P110" i="13" s="1"/>
  <c r="AB232" i="13"/>
  <c r="C382" i="13"/>
  <c r="AA764" i="14"/>
  <c r="AB764" i="14" s="1"/>
  <c r="X630" i="14"/>
  <c r="Z680" i="14"/>
  <c r="X631" i="14"/>
  <c r="V677" i="14"/>
  <c r="X677" i="14"/>
  <c r="Y677" i="14"/>
  <c r="Z677" i="14"/>
  <c r="V683" i="14"/>
  <c r="U635" i="14"/>
  <c r="U676" i="14"/>
  <c r="V676" i="14"/>
  <c r="V680" i="14"/>
  <c r="AB674" i="14"/>
  <c r="W676" i="14"/>
  <c r="Y676" i="14"/>
  <c r="Y1002" i="14"/>
  <c r="Z681" i="14"/>
  <c r="Y994" i="14"/>
  <c r="U673" i="14"/>
  <c r="V673" i="14"/>
  <c r="C39" i="14"/>
  <c r="U632" i="14"/>
  <c r="W970" i="14"/>
  <c r="V632" i="14"/>
  <c r="C48" i="14"/>
  <c r="W632" i="14"/>
  <c r="W635" i="14"/>
  <c r="X633" i="14"/>
  <c r="C49" i="14"/>
  <c r="V679" i="14"/>
  <c r="Z679" i="14"/>
  <c r="V682" i="14"/>
  <c r="W994" i="14"/>
  <c r="AA762" i="14"/>
  <c r="Y675" i="14"/>
  <c r="AA682" i="14"/>
  <c r="AA680" i="14"/>
  <c r="AA683"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U214" i="13"/>
  <c r="M111" i="13"/>
  <c r="M113" i="13" s="1"/>
  <c r="M112" i="13"/>
  <c r="U211" i="13"/>
  <c r="J131" i="13"/>
  <c r="AC111" i="13" s="1"/>
  <c r="AA211" i="13"/>
  <c r="R232" i="13"/>
  <c r="Y234" i="13"/>
  <c r="AB236" i="13"/>
  <c r="W172" i="13"/>
  <c r="X172" i="13" s="1"/>
  <c r="U210" i="13"/>
  <c r="J214" i="13"/>
  <c r="S208" i="13" s="1"/>
  <c r="M222" i="13"/>
  <c r="AA234" i="13"/>
  <c r="S237" i="13"/>
  <c r="Q238" i="13"/>
  <c r="H241" i="13"/>
  <c r="J102" i="13"/>
  <c r="F102" i="13" s="1"/>
  <c r="R213" i="13"/>
  <c r="T210" i="13"/>
  <c r="Q208" i="13"/>
  <c r="T212" i="13"/>
  <c r="Y213" i="13"/>
  <c r="Z214" i="13"/>
  <c r="T233" i="13"/>
  <c r="T235" i="13"/>
  <c r="C94" i="13"/>
  <c r="U208" i="13"/>
  <c r="X211" i="13"/>
  <c r="Y212" i="13"/>
  <c r="T214" i="13"/>
  <c r="U233" i="13"/>
  <c r="X235" i="13"/>
  <c r="C287" i="13"/>
  <c r="C381" i="13"/>
  <c r="K142" i="13"/>
  <c r="K143" i="13" s="1"/>
  <c r="C161" i="13"/>
  <c r="C5" i="13"/>
  <c r="C39" i="13"/>
  <c r="C163" i="13"/>
  <c r="Z208" i="13"/>
  <c r="R211" i="13"/>
  <c r="S212" i="13"/>
  <c r="AA213" i="13"/>
  <c r="Y209" i="13"/>
  <c r="S211" i="13"/>
  <c r="AA212" i="13"/>
  <c r="AB213" i="13"/>
  <c r="Q232" i="13"/>
  <c r="Q234" i="13"/>
  <c r="T112" i="13"/>
  <c r="T111" i="13"/>
  <c r="T113" i="13" s="1"/>
  <c r="AB112" i="13"/>
  <c r="AB111" i="13"/>
  <c r="AB113" i="13" s="1"/>
  <c r="L112" i="13"/>
  <c r="L111" i="13"/>
  <c r="L113" i="13" s="1"/>
  <c r="R112" i="13"/>
  <c r="R111" i="13"/>
  <c r="R113" i="13" s="1"/>
  <c r="U111" i="13"/>
  <c r="U113" i="13" s="1"/>
  <c r="U112" i="13"/>
  <c r="N112" i="13"/>
  <c r="N111" i="13"/>
  <c r="N113" i="13" s="1"/>
  <c r="AC109" i="13"/>
  <c r="V112" i="13"/>
  <c r="V111" i="13"/>
  <c r="V113" i="13" s="1"/>
  <c r="P111" i="13"/>
  <c r="P113" i="13" s="1"/>
  <c r="P112" i="13"/>
  <c r="C48" i="13"/>
  <c r="AC102" i="13"/>
  <c r="AC101" i="13" s="1"/>
  <c r="Q112" i="13"/>
  <c r="Q111" i="13"/>
  <c r="Q113" i="13" s="1"/>
  <c r="F218" i="13"/>
  <c r="F219" i="13" s="1"/>
  <c r="F220" i="13" s="1"/>
  <c r="F221" i="13" s="1"/>
  <c r="F222" i="13" s="1"/>
  <c r="F223" i="13" s="1"/>
  <c r="H217" i="13"/>
  <c r="AC105" i="13"/>
  <c r="N228" i="13"/>
  <c r="F107" i="13"/>
  <c r="J109" i="13"/>
  <c r="AC107" i="13"/>
  <c r="AC106" i="13"/>
  <c r="AC108" i="13"/>
  <c r="AC104"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X171" i="13" s="1"/>
  <c r="J190" i="13"/>
  <c r="AA189" i="13" s="1"/>
  <c r="X208" i="13"/>
  <c r="S209" i="13"/>
  <c r="AA210" i="13"/>
  <c r="Y211" i="13"/>
  <c r="U212" i="13"/>
  <c r="S213" i="13"/>
  <c r="Q214" i="13"/>
  <c r="AA214"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Y208" i="13"/>
  <c r="T209" i="13"/>
  <c r="R210" i="13"/>
  <c r="AB210" i="13"/>
  <c r="Z211" i="13"/>
  <c r="X212" i="13"/>
  <c r="T213" i="13"/>
  <c r="R214" i="13"/>
  <c r="AB214" i="13"/>
  <c r="M228" i="13"/>
  <c r="W175" i="13"/>
  <c r="X175" i="13" s="1"/>
  <c r="L190" i="13"/>
  <c r="U209" i="13"/>
  <c r="S210" i="13"/>
  <c r="Q211" i="13"/>
  <c r="U213" i="13"/>
  <c r="S214" i="13"/>
  <c r="S232" i="13"/>
  <c r="X233" i="13"/>
  <c r="AB234" i="13"/>
  <c r="Q236" i="13"/>
  <c r="T237" i="13"/>
  <c r="AB238" i="13"/>
  <c r="C152" i="13"/>
  <c r="AA208" i="13"/>
  <c r="X209" i="13"/>
  <c r="AB211" i="13"/>
  <c r="Z212" i="13"/>
  <c r="X213" i="13"/>
  <c r="L228" i="13"/>
  <c r="Z232" i="13"/>
  <c r="R236" i="13"/>
  <c r="U237" i="13"/>
  <c r="T236" i="13"/>
  <c r="C15" i="14"/>
  <c r="C14" i="14"/>
  <c r="C5" i="14"/>
  <c r="N190" i="13"/>
  <c r="R208" i="13"/>
  <c r="Q212" i="13"/>
  <c r="J220" i="13"/>
  <c r="AA232" i="13"/>
  <c r="F234" i="13"/>
  <c r="F235" i="13" s="1"/>
  <c r="F236" i="13" s="1"/>
  <c r="F237" i="13" s="1"/>
  <c r="F238" i="13" s="1"/>
  <c r="F239" i="13" s="1"/>
  <c r="S235" i="13"/>
  <c r="Y236" i="13"/>
  <c r="X237" i="13"/>
  <c r="M244" i="13"/>
  <c r="Z209" i="13"/>
  <c r="X210" i="13"/>
  <c r="T211" i="13"/>
  <c r="AB212" i="13"/>
  <c r="Z213" i="13"/>
  <c r="X214" i="13"/>
  <c r="N245" i="13"/>
  <c r="K246" i="13"/>
  <c r="T208" i="13"/>
  <c r="Q209" i="13"/>
  <c r="AA209" i="13"/>
  <c r="Y210" i="13"/>
  <c r="Q213" i="13"/>
  <c r="Y214"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AC113" i="13" l="1"/>
  <c r="S189" i="13"/>
  <c r="Q184" i="13"/>
  <c r="U187" i="13"/>
  <c r="S187" i="13"/>
  <c r="AC112" i="13"/>
  <c r="T189" i="13"/>
  <c r="AB186" i="13"/>
  <c r="R209" i="13"/>
  <c r="AB209" i="13"/>
  <c r="R212" i="13"/>
  <c r="Q210" i="13"/>
  <c r="AB762" i="14"/>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633" i="14"/>
  <c r="Z732" i="14"/>
  <c r="AA731" i="14"/>
  <c r="Z631" i="14"/>
  <c r="Z970" i="14"/>
  <c r="AA971" i="14"/>
  <c r="Z243" i="13" l="1"/>
  <c r="Y240" i="13"/>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U221" i="13"/>
  <c r="S218" i="13"/>
  <c r="U217" i="13"/>
  <c r="AB219" i="13"/>
  <c r="U219" i="13"/>
  <c r="Q218" i="13"/>
  <c r="R218" i="13"/>
  <c r="AB963" i="14"/>
  <c r="AB962" i="14" s="1"/>
  <c r="AA962" i="14"/>
  <c r="S220" i="13"/>
  <c r="AB732" i="14"/>
  <c r="AB631" i="14"/>
  <c r="AB633" i="14"/>
  <c r="AA1011" i="14"/>
  <c r="Z1010" i="14"/>
  <c r="AA635" i="14"/>
  <c r="AA632" i="14"/>
  <c r="AA634" i="14"/>
  <c r="Y692" i="14"/>
  <c r="Z691" i="14"/>
  <c r="Z694" i="14"/>
  <c r="Z695" i="14" s="1"/>
  <c r="AA693" i="14"/>
  <c r="X219" i="13"/>
  <c r="J230" i="13"/>
  <c r="R227" i="13" s="1"/>
  <c r="AB225" i="13"/>
  <c r="Y228" i="13"/>
  <c r="AB224" i="13"/>
  <c r="AA226" i="13"/>
  <c r="Z224" i="13"/>
  <c r="Y229" i="13"/>
  <c r="T229" i="13"/>
  <c r="Q224" i="13" l="1"/>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J60" i="10" l="1"/>
  <c r="J58" i="10"/>
  <c r="K54"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49" i="9" s="1"/>
  <c r="C60" i="9"/>
  <c r="C59" i="9"/>
  <c r="C58" i="9"/>
  <c r="C57" i="9"/>
  <c r="C48" i="9" s="1"/>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39" i="9" l="1"/>
  <c r="C15" i="9"/>
  <c r="C5" i="9"/>
  <c r="C14" i="9"/>
  <c r="J56" i="10" l="1"/>
  <c r="I56" i="10" s="1"/>
  <c r="J63" i="10"/>
  <c r="K58" i="10" l="1"/>
  <c r="M63" i="10"/>
  <c r="L63" i="10"/>
  <c r="M58" i="10"/>
  <c r="K63" i="10"/>
  <c r="N63" i="10"/>
  <c r="I63" i="10" l="1"/>
  <c r="K53" i="10"/>
  <c r="I53" i="10" s="1"/>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<sst xmlns="http://schemas.openxmlformats.org/spreadsheetml/2006/main" count="4133" uniqueCount="2472">
  <si>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</si>
  <si>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</si>
  <si>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</si>
  <si>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</si>
  <si>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</si>
  <si>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</si>
  <si>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</si>
  <si>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</si>
  <si>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</si>
  <si>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</si>
  <si>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</si>
  <si>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</si>
  <si>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</si>
  <si>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</si>
  <si>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</si>
  <si>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</si>
  <si>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</si>
  <si>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</si>
  <si>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</si>
  <si>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</si>
  <si>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</si>
  <si>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</si>
  <si>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</si>
  <si>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</si>
  <si>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</si>
  <si>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</si>
  <si>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</si>
  <si>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</si>
  <si>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</si>
  <si>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</si>
  <si>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</si>
  <si>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</si>
  <si>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</si>
  <si>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</si>
  <si>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</si>
  <si>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</si>
  <si>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</si>
  <si>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</si>
  <si>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</si>
  <si>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</si>
  <si>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</si>
  <si>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</si>
  <si>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</si>
  <si>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</si>
  <si>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</si>
  <si>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</si>
  <si>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</si>
  <si>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</si>
  <si>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</si>
  <si>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</si>
  <si>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</si>
  <si>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</si>
  <si>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</si>
  <si>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</si>
  <si>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</si>
  <si>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</si>
  <si>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</si>
  <si>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</si>
  <si>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</si>
  <si>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</si>
  <si>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</si>
  <si>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</si>
  <si>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</si>
  <si>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</si>
  <si>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</si>
  <si>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</si>
  <si>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</si>
  <si>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</si>
  <si>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</si>
  <si>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</si>
  <si>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</si>
  <si>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</si>
  <si>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</si>
  <si>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</si>
  <si>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</si>
  <si>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</si>
  <si>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</si>
  <si>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</si>
  <si>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</si>
  <si>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</si>
  <si>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</si>
  <si>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</si>
  <si>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</si>
  <si>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</si>
  <si>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</si>
  <si>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</si>
  <si>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</si>
  <si>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</si>
  <si>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</si>
  <si>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</si>
  <si>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</si>
  <si>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</si>
  <si>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</si>
  <si>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</si>
  <si>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</si>
  <si>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</si>
  <si>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</si>
  <si>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</si>
  <si>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</si>
  <si>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</si>
  <si>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</si>
  <si>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</si>
  <si>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</si>
  <si>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</si>
  <si>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</si>
  <si>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</si>
  <si>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</si>
  <si>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</si>
  <si>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</si>
  <si>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</si>
  <si>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</si>
  <si>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</si>
  <si>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</si>
  <si>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</si>
  <si>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</si>
  <si>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</si>
  <si>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</si>
  <si>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</si>
  <si>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</si>
  <si>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</si>
  <si>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</si>
  <si>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</si>
  <si>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</si>
  <si>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</si>
  <si>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</si>
  <si>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</si>
  <si>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</si>
  <si>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</si>
  <si>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</si>
  <si>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</si>
  <si>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</si>
  <si>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</si>
  <si>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</si>
  <si>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</si>
  <si>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</si>
  <si>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</si>
  <si>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</si>
  <si>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</si>
  <si>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</si>
  <si>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</si>
  <si>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</si>
  <si>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</si>
  <si>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</si>
  <si>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</si>
  <si>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</si>
  <si>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</si>
  <si>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</si>
  <si>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</si>
  <si>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</si>
  <si>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</si>
  <si>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</si>
  <si>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</si>
  <si>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</si>
  <si>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</si>
  <si>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</si>
  <si>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</si>
  <si>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</si>
  <si>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</si>
  <si>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</si>
  <si>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</si>
  <si>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</si>
  <si>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</si>
  <si>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</si>
  <si>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</si>
  <si>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</si>
  <si>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</si>
  <si>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</si>
  <si>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</si>
  <si>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</si>
  <si>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</si>
  <si>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</si>
  <si>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</si>
  <si>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</si>
  <si>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</si>
  <si>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</si>
  <si>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</si>
  <si>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</si>
  <si>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</si>
  <si>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</si>
  <si>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</si>
  <si>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</si>
  <si>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</si>
  <si>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</si>
  <si>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</si>
  <si>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</si>
  <si>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</si>
  <si>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</si>
  <si>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</si>
  <si>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</si>
  <si>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</si>
  <si>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</si>
  <si>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</si>
  <si>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</si>
  <si>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</si>
  <si>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</si>
  <si>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</si>
  <si>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</si>
  <si>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</si>
  <si>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</si>
  <si>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</si>
  <si>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</si>
  <si>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</si>
  <si>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</si>
  <si>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</si>
  <si>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</si>
  <si>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</si>
  <si>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</si>
  <si>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</si>
  <si>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</si>
  <si>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</si>
  <si>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</si>
  <si>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</si>
  <si>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</si>
  <si>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</si>
  <si>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</si>
  <si>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</si>
  <si>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</si>
  <si>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</si>
  <si>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</si>
  <si>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</si>
  <si>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</si>
  <si>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</si>
  <si>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</si>
  <si>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</si>
  <si>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</si>
  <si>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</si>
  <si>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</si>
  <si>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</si>
  <si>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</si>
  <si>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</si>
  <si>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</si>
  <si>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</si>
  <si>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</si>
  <si>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</si>
  <si>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</si>
  <si>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</si>
  <si>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</si>
  <si>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</si>
  <si>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</si>
  <si>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</si>
  <si>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</si>
  <si>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</si>
  <si>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</si>
  <si>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</si>
  <si>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</si>
  <si>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</si>
  <si>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</si>
  <si>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</si>
  <si>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</si>
  <si>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</si>
  <si>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</si>
  <si>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</si>
  <si>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</si>
  <si>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</si>
  <si>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</si>
  <si>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</si>
  <si>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</si>
  <si>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</si>
  <si>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</si>
  <si>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</si>
  <si>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</si>
  <si>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</si>
  <si>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</si>
  <si>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</si>
  <si>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</si>
  <si>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</si>
  <si>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</si>
  <si>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</si>
  <si>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</si>
  <si>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</si>
  <si>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</si>
  <si>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</si>
  <si>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</si>
  <si>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</si>
  <si>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</si>
  <si>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</si>
  <si>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</si>
  <si>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</si>
  <si>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</si>
  <si>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</si>
  <si>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</si>
  <si>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</si>
  <si>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</si>
  <si>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</si>
  <si>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</si>
  <si>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</si>
  <si>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</si>
  <si>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</si>
  <si>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</si>
  <si>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</si>
  <si>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</si>
  <si>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</si>
  <si>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</si>
  <si>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</si>
  <si>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</si>
  <si>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</si>
  <si>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</si>
  <si>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</si>
  <si>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</si>
  <si>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</si>
  <si>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</si>
  <si>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</si>
  <si>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</si>
  <si>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</si>
  <si>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</si>
  <si>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</si>
  <si>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</si>
  <si>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</si>
  <si>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</si>
  <si>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</si>
  <si>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</si>
  <si>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</si>
  <si>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</si>
  <si>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</si>
  <si>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</si>
  <si>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</si>
  <si>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</si>
  <si>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</si>
  <si>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</si>
  <si>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</si>
  <si>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</si>
  <si>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</si>
  <si>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</si>
  <si>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</si>
  <si>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</si>
  <si>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</si>
  <si>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</si>
  <si>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</si>
  <si>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</si>
  <si>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</si>
  <si>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</si>
  <si>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</si>
  <si>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</si>
  <si>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</si>
  <si>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</si>
  <si>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</si>
  <si>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</si>
  <si>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</si>
  <si>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</si>
  <si>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</si>
  <si>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</si>
  <si>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</si>
  <si>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</si>
  <si>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</si>
  <si>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</si>
  <si>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</si>
  <si>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</si>
  <si>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</si>
  <si>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</si>
  <si>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</si>
  <si>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</si>
  <si>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</si>
  <si>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</si>
  <si>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</si>
  <si>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</si>
  <si>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</si>
  <si>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</si>
  <si>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</si>
  <si>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</si>
  <si>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</si>
  <si>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</si>
  <si>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</si>
  <si>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</si>
  <si>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</si>
  <si>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</si>
  <si>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</si>
  <si>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</si>
  <si>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</si>
  <si>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</si>
  <si>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</si>
  <si>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</si>
  <si>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</si>
  <si>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</si>
  <si>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</si>
  <si>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</si>
  <si>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</si>
  <si>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</si>
  <si>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</si>
  <si>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</si>
  <si>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</si>
  <si>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</si>
  <si>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</si>
  <si>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</si>
  <si>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</si>
  <si>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</si>
  <si>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</si>
  <si>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</si>
  <si>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</si>
  <si>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</si>
  <si>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</si>
  <si>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</si>
  <si>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</si>
  <si>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</si>
  <si>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</si>
  <si>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</si>
  <si>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</si>
  <si>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</si>
  <si>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</si>
  <si>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</si>
  <si>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</si>
  <si>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</si>
  <si>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</si>
  <si>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</si>
  <si>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</si>
  <si>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</si>
  <si>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</si>
  <si>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</si>
  <si>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</si>
  <si>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</si>
  <si>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</si>
  <si>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</si>
  <si>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</si>
  <si>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</si>
  <si>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</si>
  <si>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</si>
  <si>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</si>
  <si>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</si>
  <si>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</si>
  <si>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</si>
  <si>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</si>
  <si>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</si>
  <si>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</si>
  <si>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</si>
  <si>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</si>
  <si>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</si>
  <si>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</si>
  <si>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</si>
  <si>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</si>
  <si>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</si>
  <si>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</si>
  <si>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</si>
  <si>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</si>
  <si>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</si>
  <si>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</si>
  <si>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</si>
  <si>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</si>
  <si>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</si>
  <si>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</si>
  <si>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</si>
  <si>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</si>
  <si>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</si>
  <si>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</si>
  <si>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</si>
  <si>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</si>
  <si>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</si>
  <si>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</si>
  <si>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</si>
  <si>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</si>
  <si>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</si>
  <si>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</si>
  <si>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</si>
  <si>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</si>
  <si>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</si>
  <si>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</si>
  <si>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</si>
  <si>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</si>
  <si>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</si>
  <si>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</si>
  <si>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</si>
  <si>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</si>
  <si>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</si>
  <si>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</si>
  <si>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</si>
  <si>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</si>
  <si>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</si>
  <si>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</si>
  <si>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</si>
  <si>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</si>
  <si>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</si>
  <si>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</si>
  <si>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</si>
  <si>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</si>
  <si>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</si>
  <si>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</si>
  <si>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</si>
  <si>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</si>
  <si>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</si>
  <si>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</si>
  <si>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</si>
  <si>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</si>
  <si>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</si>
  <si>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</si>
  <si>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</si>
  <si>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</si>
  <si>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</si>
  <si>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</si>
  <si>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</si>
  <si>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</si>
  <si>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</si>
  <si>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</si>
  <si>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</si>
  <si>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</si>
  <si>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</si>
  <si>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</si>
  <si>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</si>
  <si>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</si>
  <si>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</si>
  <si>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</si>
  <si>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</si>
  <si>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</si>
  <si>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</si>
  <si>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</si>
  <si>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</si>
  <si>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</si>
  <si>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</si>
  <si>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</si>
  <si>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</si>
  <si>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</si>
  <si>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</si>
  <si>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</si>
  <si>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</si>
  <si>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</si>
  <si>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</si>
  <si>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</si>
  <si>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</si>
  <si>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</si>
  <si>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</si>
  <si>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</si>
  <si>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</si>
  <si>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</si>
  <si>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</si>
  <si>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</si>
  <si>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</si>
  <si>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</si>
  <si>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</si>
  <si>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</si>
  <si>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</si>
  <si>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</si>
  <si>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</si>
  <si>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</si>
  <si>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</si>
  <si>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</si>
  <si>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</si>
  <si>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</si>
  <si>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</si>
  <si>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</si>
  <si>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</si>
  <si>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</si>
  <si>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</si>
  <si>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</si>
  <si>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</si>
  <si>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</si>
  <si>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</si>
  <si>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</si>
  <si>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</si>
  <si>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</si>
  <si>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</si>
  <si>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</si>
  <si>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</si>
  <si>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</si>
  <si>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</si>
  <si>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</si>
  <si>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</si>
  <si>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</si>
  <si>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</si>
  <si>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</si>
  <si>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</si>
  <si>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</si>
  <si>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</si>
  <si>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</si>
  <si>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</si>
  <si>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</si>
  <si>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</si>
  <si>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</si>
  <si>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</si>
  <si>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</si>
  <si>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</si>
  <si>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</si>
  <si>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</si>
  <si>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</si>
  <si>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</si>
  <si>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</si>
  <si>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</si>
  <si>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</si>
  <si>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</si>
  <si>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</si>
  <si>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</si>
  <si>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</si>
  <si>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</si>
  <si>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</si>
  <si>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</si>
  <si>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</si>
  <si>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</si>
  <si>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</si>
  <si>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</si>
  <si>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</si>
  <si>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</si>
  <si>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</si>
  <si>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</si>
  <si>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</si>
  <si>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</si>
  <si>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</si>
  <si>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</si>
  <si>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</si>
  <si>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</si>
  <si>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</si>
  <si>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</si>
  <si>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</si>
  <si>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</si>
  <si>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</si>
  <si>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</si>
  <si>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</si>
  <si>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</si>
  <si>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</si>
  <si>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</si>
  <si>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</si>
  <si>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</si>
  <si>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</si>
  <si>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</si>
  <si>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</si>
  <si>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</si>
  <si>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</si>
  <si>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</si>
  <si>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</si>
  <si>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</si>
  <si>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</si>
  <si>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</si>
  <si>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</si>
  <si>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</si>
  <si>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</si>
  <si>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</si>
  <si>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</si>
  <si>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</si>
  <si>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</si>
  <si>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</si>
  <si>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</si>
  <si>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</si>
  <si>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</si>
  <si>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</si>
  <si>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</si>
  <si>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</si>
  <si>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</si>
  <si>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</si>
  <si>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</si>
  <si>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</si>
  <si>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</si>
  <si>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</si>
  <si>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</si>
  <si>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</si>
  <si>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</si>
  <si>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</si>
  <si>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</si>
  <si>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</si>
  <si>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</si>
  <si>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</si>
  <si>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</si>
  <si>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</si>
  <si>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</si>
  <si>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</si>
  <si>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</si>
  <si>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</si>
  <si>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</si>
  <si>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</si>
  <si>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</si>
  <si>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</si>
  <si>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</si>
  <si>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</si>
  <si>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</si>
  <si>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</si>
  <si>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</si>
  <si>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</si>
  <si>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</si>
  <si>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</si>
  <si>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</si>
  <si>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</si>
  <si>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</si>
  <si>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</si>
  <si>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</si>
  <si>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</si>
  <si>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</si>
  <si>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</si>
  <si>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</si>
  <si>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</si>
  <si>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</si>
  <si>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</si>
  <si>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</si>
  <si>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</si>
  <si>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</si>
  <si>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</si>
  <si>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</si>
  <si>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</si>
  <si>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</si>
  <si>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</si>
  <si>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</si>
  <si>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</si>
  <si>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</si>
  <si>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</si>
  <si>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</si>
  <si>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</si>
  <si>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</si>
  <si>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</si>
  <si>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</si>
  <si>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</si>
  <si>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</si>
  <si>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</si>
  <si>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</si>
  <si>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</si>
  <si>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</si>
  <si>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</si>
  <si>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</si>
  <si>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</si>
  <si>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</si>
  <si>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</si>
  <si>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</si>
  <si>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</si>
  <si>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</si>
  <si>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</si>
  <si>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</si>
  <si>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</si>
  <si>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</si>
  <si>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</si>
  <si>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</si>
  <si>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</si>
  <si>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</si>
  <si>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</si>
  <si>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</si>
  <si>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</si>
  <si>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</si>
  <si>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</si>
  <si>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</si>
  <si>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</si>
  <si>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</si>
  <si>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</si>
  <si>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</si>
  <si>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</si>
  <si>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</si>
  <si>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</si>
  <si>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</si>
  <si>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</si>
  <si>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</si>
  <si>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</si>
  <si>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</si>
  <si>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</si>
  <si>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</si>
  <si>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</si>
  <si>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</si>
  <si>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</si>
  <si>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</si>
  <si>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</si>
  <si>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</si>
  <si>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</si>
  <si>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</si>
  <si>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</si>
  <si>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</si>
  <si>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</si>
  <si>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</si>
  <si>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</si>
  <si>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</si>
  <si>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</si>
  <si>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</si>
  <si>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</si>
  <si>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</si>
  <si>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</si>
  <si>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</si>
  <si>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</si>
  <si>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</si>
  <si>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</si>
  <si>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</si>
  <si>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</si>
  <si>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</si>
  <si>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</si>
  <si>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</si>
  <si>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</si>
  <si>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</si>
  <si>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</si>
  <si>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</si>
  <si>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</si>
  <si>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</si>
  <si>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</si>
  <si>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</si>
  <si>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</si>
  <si>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</si>
  <si>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</si>
  <si>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</si>
  <si>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</si>
  <si>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</si>
  <si>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</si>
  <si>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</si>
  <si>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</si>
  <si>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</si>
  <si>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</si>
  <si>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</si>
  <si>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</si>
  <si>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</si>
  <si>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</si>
  <si>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</si>
  <si>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</si>
  <si>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</si>
  <si>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</si>
  <si>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</si>
  <si>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</si>
  <si>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</si>
  <si>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</si>
  <si>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</si>
  <si>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</si>
  <si>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</si>
  <si>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</si>
  <si>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</si>
  <si>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</si>
  <si>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</si>
  <si>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</si>
  <si>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</si>
  <si>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</si>
  <si>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</si>
  <si>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</si>
  <si>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</si>
  <si>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</si>
  <si>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</si>
  <si>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</si>
  <si>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</si>
  <si>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</si>
  <si>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</si>
  <si>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</si>
  <si>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</si>
  <si>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</si>
  <si>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</si>
  <si>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</si>
  <si>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</si>
  <si>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</si>
  <si>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</si>
  <si>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</si>
  <si>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</si>
  <si>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</si>
  <si>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</si>
  <si>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</si>
  <si>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</si>
  <si>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</si>
  <si>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</si>
  <si>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</si>
  <si>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</si>
  <si>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</si>
  <si>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</si>
  <si>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</si>
  <si>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</si>
  <si>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</si>
  <si>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</si>
  <si>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</si>
  <si>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</si>
  <si>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</si>
  <si>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</si>
  <si>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</si>
  <si>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</si>
  <si>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</si>
  <si>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</si>
  <si>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</si>
  <si>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</si>
  <si>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</si>
  <si>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</si>
  <si>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</si>
  <si>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</si>
  <si>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</si>
  <si>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</si>
  <si>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</si>
  <si>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</si>
  <si>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</si>
  <si>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</si>
  <si>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</si>
  <si>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</si>
  <si>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</si>
  <si>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</si>
  <si>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</si>
  <si>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</si>
  <si>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</si>
  <si>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</si>
  <si>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</si>
  <si>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</si>
  <si>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</si>
  <si>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</si>
  <si>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</si>
  <si>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</si>
  <si>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</si>
  <si>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</si>
  <si>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</si>
  <si>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</si>
  <si>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</si>
  <si>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</si>
  <si>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</si>
  <si>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</si>
  <si>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</si>
  <si>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</si>
  <si>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</si>
  <si>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</si>
  <si>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</si>
  <si>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</si>
  <si>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</si>
  <si>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</si>
  <si>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</si>
  <si>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</si>
  <si>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</si>
  <si>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</si>
  <si>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</si>
  <si>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</si>
  <si>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</si>
  <si>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</si>
  <si>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</si>
  <si>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</si>
  <si>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</si>
  <si>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</si>
  <si>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</si>
  <si>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</si>
  <si>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</si>
  <si>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</si>
  <si>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</si>
  <si>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</si>
  <si>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</si>
  <si>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</si>
  <si>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</si>
  <si>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</si>
  <si>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</si>
  <si>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</si>
  <si>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</si>
  <si>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</si>
  <si>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</si>
  <si>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</si>
  <si>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</si>
  <si>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</si>
  <si>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</si>
  <si>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</si>
  <si>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</si>
  <si>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</si>
  <si>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</si>
  <si>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</si>
  <si>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</si>
  <si>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</si>
  <si>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</si>
  <si>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</si>
  <si>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</si>
  <si>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</si>
  <si>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</si>
  <si>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</si>
  <si>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</si>
  <si>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</si>
  <si>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</si>
  <si>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</si>
  <si>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</si>
  <si>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</si>
  <si>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</si>
  <si>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</si>
  <si>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</si>
  <si>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</si>
  <si>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</si>
  <si>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</si>
  <si>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</si>
  <si>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</si>
  <si>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</si>
  <si>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</si>
  <si>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</si>
  <si>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</si>
  <si>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</si>
  <si>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</si>
  <si>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</si>
  <si>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</si>
  <si>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</si>
  <si>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</si>
  <si>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</si>
  <si>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</si>
  <si>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</si>
  <si>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</si>
  <si>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</si>
  <si>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</si>
  <si>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</si>
  <si>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</si>
  <si>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</si>
  <si>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</si>
  <si>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</si>
  <si>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</si>
  <si>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</si>
  <si>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</si>
  <si>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</si>
  <si>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</si>
  <si>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</si>
  <si>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</si>
  <si>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</si>
  <si>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</si>
  <si>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</si>
  <si>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</si>
  <si>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</si>
  <si>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</si>
  <si>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</si>
  <si>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</si>
  <si>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</si>
  <si>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</si>
  <si>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</si>
  <si>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</si>
  <si>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</si>
  <si>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</si>
  <si>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</si>
  <si>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</si>
  <si>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</si>
  <si>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</si>
  <si>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</si>
  <si>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</si>
  <si>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</si>
  <si>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</si>
  <si>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</si>
  <si>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</si>
  <si>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</si>
  <si>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</si>
  <si>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</si>
  <si>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</si>
  <si>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</si>
  <si>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</si>
  <si>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</si>
  <si>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</si>
  <si>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</si>
  <si>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</si>
  <si>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</si>
  <si>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</si>
  <si>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</si>
  <si>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</si>
  <si>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</si>
  <si>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</si>
  <si>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</si>
  <si>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</si>
  <si>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</si>
  <si>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</si>
  <si>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</si>
  <si>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</si>
  <si>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</si>
  <si>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</si>
  <si>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</si>
  <si>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</si>
  <si>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</si>
  <si>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</si>
  <si>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</si>
  <si>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</si>
  <si>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</si>
  <si>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</si>
  <si>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</si>
  <si>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</si>
  <si>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</si>
  <si>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</si>
  <si>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</si>
  <si>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</si>
  <si>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</si>
  <si>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</si>
  <si>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</si>
  <si>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</si>
  <si>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</si>
  <si>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</si>
  <si>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</si>
  <si>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</si>
  <si>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</si>
  <si>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</si>
  <si>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</si>
  <si>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</si>
  <si>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</si>
  <si>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</si>
  <si>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</si>
  <si>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</si>
  <si>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</si>
  <si>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</si>
  <si>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</si>
  <si>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</si>
  <si>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</si>
  <si>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</si>
  <si>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</si>
  <si>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</si>
  <si>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</si>
  <si>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</si>
  <si>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</si>
  <si>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</si>
  <si>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</si>
  <si>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</si>
  <si>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</si>
  <si>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</si>
  <si>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</si>
  <si>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</si>
  <si>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</si>
  <si>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</si>
  <si>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</si>
  <si>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</si>
  <si>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</si>
  <si>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</si>
  <si>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</si>
  <si>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</si>
  <si>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</si>
  <si>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</si>
  <si>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</si>
  <si>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</si>
  <si>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</si>
  <si>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</si>
  <si>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</si>
  <si>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</si>
  <si>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</si>
  <si>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</si>
  <si>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</si>
  <si>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</si>
  <si>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</si>
  <si>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</si>
  <si>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</si>
  <si>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</si>
  <si>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</si>
  <si>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</si>
  <si>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</si>
  <si>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</si>
  <si>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</si>
  <si>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</si>
  <si>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</si>
  <si>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</si>
  <si>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</si>
  <si>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</si>
  <si>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</si>
  <si>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</si>
  <si>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</si>
  <si>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</si>
  <si>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</si>
  <si>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</si>
  <si>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</si>
  <si>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</si>
  <si>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</si>
  <si>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</si>
  <si>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</si>
  <si>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</si>
  <si>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</si>
  <si>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</si>
  <si>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</si>
  <si>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</si>
  <si>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</si>
  <si>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</si>
  <si>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</si>
  <si>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</si>
  <si>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</si>
  <si>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</si>
  <si>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</si>
  <si>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</si>
  <si>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</si>
  <si>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</si>
  <si>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</si>
  <si>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</si>
  <si>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</si>
  <si>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</si>
  <si>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</si>
  <si>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</si>
  <si>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</si>
  <si>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</si>
  <si>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</si>
  <si>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</si>
  <si>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</si>
  <si>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</si>
  <si>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</si>
  <si>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</si>
  <si>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</si>
  <si>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</si>
  <si>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</si>
  <si>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</si>
  <si>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</si>
  <si>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</si>
  <si>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</si>
  <si>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</si>
  <si>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</si>
  <si>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</si>
  <si>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</si>
  <si>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</si>
  <si>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</si>
  <si>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</si>
  <si>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</si>
  <si>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</si>
  <si>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</si>
  <si>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</si>
  <si>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</si>
  <si>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</si>
  <si>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</si>
  <si>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</si>
  <si>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</si>
  <si>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</si>
  <si>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</si>
  <si>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</si>
  <si>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</si>
  <si>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</si>
  <si>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</si>
  <si>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</si>
  <si>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</si>
  <si>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</si>
  <si>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</si>
  <si>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</si>
  <si>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</si>
  <si>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</si>
  <si>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</si>
  <si>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</si>
  <si>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</si>
  <si>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</si>
  <si>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</si>
  <si>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</si>
  <si>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</si>
  <si>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</si>
  <si>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</si>
  <si>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</si>
  <si>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</si>
  <si>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</si>
  <si>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</si>
  <si>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</si>
  <si>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</si>
  <si>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</si>
  <si>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</si>
  <si>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</si>
  <si>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</si>
  <si>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</si>
  <si>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</si>
  <si>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</si>
  <si>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</si>
  <si>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</si>
  <si>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</si>
  <si>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</si>
  <si>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</si>
  <si>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</si>
  <si>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</si>
  <si>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</si>
  <si>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</si>
  <si>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</si>
  <si>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</si>
  <si>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</si>
  <si>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</si>
  <si>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</si>
  <si>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</si>
  <si>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</si>
  <si>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</si>
  <si>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</si>
  <si>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</si>
  <si>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</si>
  <si>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</si>
  <si>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</si>
  <si>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</si>
  <si>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</si>
  <si>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</si>
  <si>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</si>
  <si>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</si>
  <si>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</si>
  <si>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</si>
  <si>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</si>
  <si>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</si>
  <si>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</si>
  <si>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</si>
  <si>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</si>
  <si>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</si>
  <si>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</si>
  <si>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</si>
  <si>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</si>
  <si>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</si>
  <si>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</si>
  <si>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</si>
  <si>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</si>
  <si>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</si>
  <si>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</si>
  <si>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</si>
  <si>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</si>
  <si>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</si>
  <si>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</si>
  <si>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</si>
  <si>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</si>
  <si>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</si>
  <si>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</si>
  <si>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</si>
  <si>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</si>
  <si>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</si>
  <si>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</si>
  <si>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</si>
  <si>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</si>
  <si>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</si>
  <si>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</si>
  <si>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</si>
  <si>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</si>
  <si>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</si>
  <si>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</si>
  <si>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</si>
  <si>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</si>
  <si>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</si>
  <si>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</si>
  <si>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</si>
  <si>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</si>
  <si>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</si>
  <si>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</si>
  <si>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</si>
  <si>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</si>
  <si>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</si>
  <si>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</si>
  <si>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</si>
  <si>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</si>
  <si>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</si>
  <si>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</si>
  <si>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</si>
  <si>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</si>
  <si>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</si>
  <si>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</si>
  <si>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</si>
  <si>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</si>
  <si>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</si>
  <si>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</si>
  <si>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</si>
  <si>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</si>
  <si>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</si>
  <si>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</si>
  <si>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</si>
  <si>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</si>
  <si>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</si>
  <si>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</si>
  <si>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</si>
  <si>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</si>
  <si>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</si>
  <si>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</si>
  <si>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</si>
  <si>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</si>
  <si>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</si>
  <si>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</si>
  <si>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</si>
  <si>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</si>
  <si>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</si>
  <si>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</si>
  <si>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</si>
  <si>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</si>
  <si>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</si>
  <si>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</si>
  <si>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</si>
  <si>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</si>
  <si>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</si>
  <si>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</si>
  <si>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</si>
  <si>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</si>
  <si>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</si>
  <si>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</si>
  <si>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</si>
  <si>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</si>
  <si>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</si>
  <si>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</si>
  <si>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</si>
  <si>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</si>
  <si>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</si>
  <si>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</si>
  <si>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</si>
  <si>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</si>
  <si>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</si>
  <si>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</si>
  <si>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</si>
  <si>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</si>
  <si>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</si>
  <si>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</si>
  <si>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</si>
  <si>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</si>
  <si>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</si>
  <si>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</si>
  <si>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</si>
  <si>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</si>
  <si>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</si>
  <si>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</si>
  <si>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</si>
  <si>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</si>
  <si>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</si>
  <si>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</si>
  <si>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</si>
  <si>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</si>
  <si>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</si>
  <si>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</si>
  <si>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</si>
  <si>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</si>
  <si>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</si>
  <si>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</si>
  <si>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</si>
  <si>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</si>
  <si>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</si>
  <si>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</si>
  <si>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</si>
  <si>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</si>
  <si>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</si>
  <si>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</si>
  <si>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</si>
  <si>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</si>
  <si>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</si>
  <si>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</si>
  <si>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</si>
  <si>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</si>
  <si>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</si>
  <si>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</si>
  <si>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</si>
  <si>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</si>
  <si>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</si>
  <si>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</si>
  <si>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</si>
  <si>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</si>
  <si>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</si>
  <si>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</si>
  <si>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</si>
  <si>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</si>
  <si>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</si>
  <si>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</si>
  <si>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</si>
  <si>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</si>
  <si>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</si>
  <si>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</si>
  <si>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</si>
  <si>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</si>
  <si>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</si>
  <si>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</si>
  <si>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</si>
  <si>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</si>
  <si>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</si>
  <si>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</si>
  <si>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</si>
  <si>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</si>
  <si>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</si>
  <si>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</si>
  <si>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</si>
  <si>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</si>
  <si>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</si>
  <si>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</si>
  <si>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</si>
  <si>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</si>
  <si>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</si>
  <si>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</si>
  <si>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</si>
  <si>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</si>
  <si>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</si>
  <si>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</si>
  <si>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</si>
  <si>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</si>
  <si>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</si>
  <si>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</si>
  <si>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</si>
  <si>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</si>
  <si>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</si>
  <si>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</si>
  <si>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</si>
  <si>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</si>
  <si>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</si>
  <si>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</si>
  <si>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</si>
  <si>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</si>
  <si>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</si>
  <si>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</si>
  <si>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</si>
  <si>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</si>
  <si>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</si>
  <si>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</si>
  <si>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</si>
  <si>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</si>
  <si>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</si>
  <si>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</si>
  <si>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</si>
  <si>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</si>
  <si>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</si>
  <si>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</si>
  <si>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</si>
  <si>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</si>
  <si>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</si>
  <si>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</si>
  <si>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</si>
  <si>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</si>
  <si>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</si>
  <si>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</si>
  <si>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</si>
  <si>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</si>
  <si>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</si>
  <si>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</si>
  <si>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</si>
  <si>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</si>
  <si>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</si>
  <si>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</si>
  <si>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</si>
  <si>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</si>
  <si>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</si>
  <si>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</si>
  <si>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</si>
  <si>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</si>
  <si>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</si>
  <si>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</si>
  <si>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</si>
  <si>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</si>
  <si>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</si>
  <si>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</si>
  <si>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</si>
  <si>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</si>
  <si>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</si>
  <si>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</si>
  <si>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</si>
  <si>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</si>
  <si>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</si>
  <si>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</si>
  <si>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</si>
  <si>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</si>
  <si>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</si>
  <si>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</si>
  <si>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</si>
  <si>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</si>
  <si>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</si>
  <si>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</si>
  <si>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</si>
  <si>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</si>
  <si>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</si>
  <si>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</si>
  <si>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</si>
  <si>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</si>
  <si>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</si>
  <si>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</si>
  <si>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</si>
  <si>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</si>
  <si>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</si>
  <si>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</si>
  <si>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</si>
  <si>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</si>
  <si>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</si>
  <si>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</si>
  <si>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</si>
  <si>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</si>
  <si>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</si>
  <si>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</si>
  <si>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</si>
  <si>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</si>
  <si>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</si>
  <si>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</si>
  <si>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</si>
  <si>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</si>
  <si>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</si>
  <si>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</si>
  <si>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</si>
  <si>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</si>
  <si>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</si>
  <si>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</si>
  <si>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</si>
  <si>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</si>
  <si>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</si>
  <si>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</si>
  <si>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</si>
  <si>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</si>
  <si>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</si>
  <si>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</si>
  <si>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</si>
  <si>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</si>
  <si>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</si>
  <si>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</si>
  <si>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</si>
  <si>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</si>
  <si>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</si>
  <si>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</si>
  <si>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</si>
  <si>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</si>
  <si>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</si>
  <si>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</si>
  <si>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</si>
  <si>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</si>
  <si>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</si>
  <si>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</si>
  <si>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</si>
  <si>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</si>
  <si>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</si>
  <si>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</si>
  <si>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</si>
  <si>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</si>
  <si>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</si>
  <si>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</si>
  <si>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</si>
  <si>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</si>
  <si>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</si>
  <si>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</si>
  <si>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</si>
  <si>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</si>
  <si>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</si>
  <si>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</si>
  <si>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</si>
  <si>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</si>
  <si>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</si>
  <si>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</si>
  <si>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</si>
  <si>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</si>
  <si>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</si>
  <si>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</si>
  <si>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</si>
  <si>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</si>
  <si>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</si>
  <si>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</si>
  <si>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</si>
  <si>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</si>
  <si>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</si>
  <si>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</si>
  <si>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</si>
  <si>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</si>
  <si>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</si>
  <si>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</si>
  <si>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</si>
  <si>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</si>
  <si>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</si>
  <si>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</si>
  <si>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</si>
  <si>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</si>
  <si>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</si>
  <si>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</si>
  <si>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</si>
  <si>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</si>
  <si>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</si>
  <si>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</si>
  <si>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</si>
  <si>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</si>
  <si>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</si>
  <si>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</si>
  <si>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</si>
  <si>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</si>
  <si>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</si>
  <si>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</si>
  <si>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</si>
  <si>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</si>
  <si>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</si>
  <si>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</si>
  <si>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</si>
  <si>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</si>
  <si>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</si>
  <si>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</si>
  <si>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</si>
  <si>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</si>
  <si>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</si>
  <si>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</si>
  <si>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</si>
  <si>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</si>
  <si>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</si>
  <si>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</si>
  <si>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</si>
  <si>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</si>
  <si>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</si>
  <si>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</si>
  <si>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</si>
  <si>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</si>
  <si>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</si>
  <si>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</si>
  <si>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</si>
  <si>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</si>
  <si>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</si>
  <si>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</si>
  <si>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</si>
  <si>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</si>
  <si>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</si>
  <si>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</si>
  <si>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</si>
  <si>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</si>
  <si>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</si>
  <si>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</si>
  <si>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</si>
  <si>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</si>
  <si>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</si>
  <si>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</si>
  <si>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</si>
  <si>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</si>
  <si>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</si>
  <si>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</si>
  <si>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</si>
  <si>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</si>
  <si>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</si>
  <si>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</si>
  <si>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</si>
  <si>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</si>
  <si>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</si>
  <si>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</si>
  <si>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</si>
  <si>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</si>
  <si>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</si>
  <si>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</si>
  <si>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</si>
  <si>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</si>
  <si>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</si>
  <si>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</si>
  <si>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</si>
  <si>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</si>
  <si>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</si>
  <si>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</si>
  <si>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</si>
  <si>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</si>
  <si>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</si>
  <si>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</si>
  <si>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</si>
  <si>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</si>
  <si>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</si>
  <si>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</si>
  <si>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</si>
  <si>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</si>
  <si>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</si>
  <si>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</si>
  <si>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</si>
  <si>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</si>
  <si>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</si>
  <si>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</si>
  <si>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</si>
  <si>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</si>
  <si>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</si>
  <si>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</si>
  <si>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</si>
  <si>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</si>
  <si>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</si>
  <si>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</si>
  <si>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</si>
  <si>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</si>
  <si>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</si>
  <si>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</si>
  <si>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</si>
  <si>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</si>
  <si>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</si>
  <si>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</si>
  <si>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</si>
  <si>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</si>
  <si>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</si>
  <si>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</si>
  <si>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</si>
  <si>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</si>
  <si>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</si>
  <si>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</si>
  <si>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</si>
  <si>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</si>
  <si>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</si>
  <si>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</si>
  <si>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</si>
  <si>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</si>
  <si>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</si>
  <si>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</si>
  <si>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</si>
  <si>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</si>
  <si>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</si>
  <si>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</si>
  <si>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</si>
  <si>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</si>
  <si>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</si>
  <si>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</si>
  <si>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</si>
  <si>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</si>
  <si>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</si>
  <si>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</si>
  <si>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</si>
  <si>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</si>
  <si>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</si>
  <si>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</si>
  <si>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</si>
  <si>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</si>
  <si>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</si>
  <si>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</si>
  <si>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</si>
  <si>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</si>
  <si>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</si>
  <si>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</si>
  <si>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</si>
  <si>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</si>
  <si>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</si>
  <si>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</si>
  <si>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</si>
  <si>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</si>
  <si>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</si>
  <si>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</si>
  <si>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</si>
  <si>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</si>
  <si>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</si>
  <si>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</si>
  <si>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</si>
  <si>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</si>
  <si>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</si>
  <si>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</si>
  <si>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</si>
  <si>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</si>
  <si>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</si>
  <si>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</si>
  <si>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</si>
  <si>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</si>
  <si>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</si>
  <si>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</si>
  <si>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</si>
  <si>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</si>
  <si>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</si>
  <si>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</si>
  <si>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</si>
  <si>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</si>
  <si>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</si>
  <si>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</si>
  <si>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</si>
  <si>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</si>
  <si>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</si>
  <si>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</si>
  <si>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</si>
  <si>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</si>
  <si>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</si>
  <si>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</si>
  <si>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</si>
  <si>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</si>
  <si>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</si>
  <si>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</si>
  <si>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</si>
  <si>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</si>
  <si>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</si>
  <si>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</si>
  <si>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</si>
  <si>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</si>
  <si>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</si>
  <si>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</si>
  <si>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</si>
  <si>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</si>
  <si>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</si>
  <si>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</si>
  <si>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</si>
  <si>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</si>
  <si>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</si>
  <si>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</si>
  <si>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</si>
  <si>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</si>
  <si>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</si>
  <si>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</si>
  <si>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</si>
  <si>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</si>
  <si>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</si>
  <si>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</si>
  <si>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</si>
  <si>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</si>
  <si>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</si>
  <si>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</si>
  <si>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</si>
  <si>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</si>
  <si>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</si>
  <si>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</si>
  <si>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</si>
  <si>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</si>
  <si>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</si>
  <si>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</si>
  <si>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</si>
  <si>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</si>
  <si>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</si>
  <si>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</si>
  <si>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</si>
  <si>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</si>
  <si>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</si>
  <si>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</si>
  <si>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</si>
  <si>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</si>
  <si>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</si>
  <si>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</si>
  <si>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</si>
  <si>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</si>
  <si>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</si>
  <si>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</si>
  <si>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</si>
  <si>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</si>
  <si>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</si>
  <si>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</si>
  <si>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</si>
  <si>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</si>
  <si>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</si>
  <si>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</si>
  <si>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</si>
  <si>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</si>
  <si>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</si>
  <si>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</si>
  <si>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</si>
  <si>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</si>
  <si>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</si>
  <si>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</si>
  <si>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</si>
  <si>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</si>
  <si>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</si>
  <si>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</si>
  <si>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</si>
  <si>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</si>
  <si>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</si>
  <si>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</si>
  <si>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</si>
  <si>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</si>
  <si>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</si>
  <si>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</si>
  <si>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</si>
  <si>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</si>
  <si>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</si>
  <si>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</si>
  <si>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</si>
  <si>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</si>
  <si>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</si>
  <si>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</si>
  <si>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</si>
  <si>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</si>
  <si>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</si>
  <si>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</si>
  <si>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</si>
  <si>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</si>
  <si>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</si>
  <si>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</si>
  <si>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</si>
  <si>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</si>
  <si>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</si>
  <si>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</si>
  <si>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</si>
  <si>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</si>
  <si>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</si>
  <si>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</si>
  <si>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</si>
  <si>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</si>
  <si>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</si>
  <si>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</si>
  <si>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</si>
  <si>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</si>
  <si>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</si>
  <si>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</si>
  <si>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</si>
  <si>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</si>
  <si>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</si>
  <si>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</si>
  <si>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</si>
  <si>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</si>
  <si>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</si>
  <si>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</si>
  <si>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</si>
  <si>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</si>
  <si>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</si>
  <si>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</si>
  <si>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</si>
  <si>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</si>
  <si>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</si>
  <si>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</si>
  <si>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</si>
  <si>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</si>
  <si>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</si>
  <si>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</si>
  <si>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</si>
  <si>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</si>
  <si>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</si>
  <si>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</si>
  <si>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</si>
  <si>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</si>
  <si>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</si>
  <si>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</si>
  <si>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</si>
  <si>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</si>
  <si>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</si>
  <si>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</si>
  <si>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</si>
  <si>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</si>
  <si>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</si>
  <si>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</si>
  <si>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</si>
  <si>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</si>
  <si>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</si>
  <si>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</si>
  <si>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</si>
  <si>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</si>
  <si>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</si>
  <si>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</si>
  <si>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</si>
  <si>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</si>
  <si>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</si>
  <si>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</si>
  <si>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</si>
  <si>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</si>
  <si>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</si>
  <si>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</si>
  <si>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</si>
  <si>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</si>
  <si>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</si>
  <si>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</si>
  <si>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</si>
  <si>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</si>
  <si>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</si>
  <si>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</si>
  <si>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</si>
  <si>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</si>
  <si>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</si>
  <si>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</si>
  <si>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</si>
  <si>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</si>
  <si>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</si>
  <si>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</si>
  <si>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</si>
  <si>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</si>
  <si>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</si>
  <si>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</si>
  <si>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</si>
  <si>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</si>
  <si>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</si>
  <si>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</si>
  <si>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</si>
  <si>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</si>
  <si>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</si>
  <si>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</si>
  <si>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</si>
  <si>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</si>
  <si>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</si>
  <si>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</si>
  <si>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</si>
  <si>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</si>
  <si>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</si>
  <si>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</si>
  <si>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</si>
  <si>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</si>
  <si>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</si>
  <si>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</si>
  <si>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</si>
  <si>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</si>
  <si>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</si>
  <si>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</si>
  <si>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</si>
  <si>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</si>
  <si>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</si>
  <si>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</si>
  <si>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</si>
  <si>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</si>
  <si>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</si>
  <si>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</si>
  <si>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</si>
  <si>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</si>
  <si>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</si>
  <si>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</si>
  <si>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</si>
  <si>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</si>
  <si>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</si>
  <si>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</si>
  <si>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</si>
  <si>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</si>
  <si>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</si>
  <si>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</si>
  <si>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</si>
  <si>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</si>
  <si>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</si>
  <si>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</si>
  <si>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</si>
  <si>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</si>
  <si>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</si>
  <si>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</si>
  <si>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</si>
  <si>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</si>
  <si>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</si>
  <si>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</si>
  <si>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</si>
  <si>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</si>
  <si>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</si>
  <si>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</si>
  <si>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</si>
  <si>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</si>
  <si>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</si>
  <si>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</si>
  <si>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</si>
  <si>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</si>
  <si>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</si>
  <si>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</si>
  <si>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</si>
  <si>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</si>
  <si>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</si>
  <si>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</si>
  <si>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</si>
  <si>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</si>
  <si>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</si>
  <si>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</si>
  <si>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</si>
  <si>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</si>
  <si>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</si>
  <si>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</si>
  <si>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</si>
  <si>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</si>
  <si>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</si>
  <si>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</si>
  <si>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</si>
  <si>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</si>
  <si>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</si>
  <si>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</si>
  <si>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</si>
  <si>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</si>
  <si>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</si>
  <si>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</si>
  <si>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</si>
  <si>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</si>
  <si>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</si>
  <si>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</si>
  <si>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</si>
  <si>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</si>
  <si>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</si>
  <si>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</si>
  <si>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</si>
  <si>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</si>
  <si>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</si>
  <si>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</si>
  <si>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</si>
  <si>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</si>
  <si>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</si>
  <si>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</si>
  <si>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</si>
  <si>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</si>
  <si>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</si>
  <si>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</si>
  <si>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</si>
  <si>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</si>
  <si>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</si>
  <si>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</si>
  <si>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</si>
  <si>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</si>
  <si>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</si>
  <si>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</si>
  <si>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</si>
  <si>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</si>
  <si>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</si>
  <si>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</si>
  <si>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</si>
  <si>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</si>
  <si>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</si>
  <si>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</si>
  <si>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</si>
  <si>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</si>
  <si>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</si>
  <si>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</si>
  <si>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</si>
  <si>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</si>
  <si>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</si>
  <si>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</si>
  <si>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</si>
  <si>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</si>
  <si>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</si>
  <si>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</si>
  <si>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</si>
  <si>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</si>
  <si>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</si>
  <si>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</si>
  <si>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</si>
  <si>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</si>
  <si>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</si>
  <si>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</si>
  <si>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</si>
  <si>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</si>
  <si>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</si>
  <si>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</si>
  <si>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</si>
  <si>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</si>
  <si>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</si>
  <si>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</si>
  <si>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</si>
  <si>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</si>
  <si>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</si>
  <si>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</si>
  <si>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</si>
  <si>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</si>
  <si>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</si>
  <si>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</si>
  <si>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</si>
  <si>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</si>
  <si>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</si>
  <si>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</si>
  <si>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</si>
  <si>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</si>
  <si>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</si>
  <si>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</si>
  <si>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</si>
  <si>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</si>
  <si>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</si>
  <si>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</si>
  <si>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</si>
  <si>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</si>
  <si>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</si>
  <si>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</si>
  <si>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</si>
  <si>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</si>
  <si>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</si>
  <si>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</si>
  <si>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</si>
  <si>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</si>
  <si>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</si>
  <si>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</si>
  <si>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</si>
  <si>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</si>
  <si>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</si>
  <si>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</si>
  <si>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</si>
  <si>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</si>
  <si>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</si>
  <si>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</si>
  <si>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</si>
  <si>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</si>
  <si>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</si>
  <si>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</si>
  <si>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</si>
  <si>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</si>
  <si>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</si>
  <si>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</si>
  <si>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</si>
  <si>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</si>
  <si>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</si>
  <si>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</si>
  <si>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</si>
  <si>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</si>
  <si>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</si>
  <si>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</si>
  <si>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</si>
  <si>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</si>
  <si>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</si>
  <si>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</si>
  <si>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</si>
  <si>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</si>
  <si>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</si>
  <si>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</si>
  <si>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</si>
  <si>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</si>
  <si>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</si>
  <si>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</si>
  <si>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</si>
  <si>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</si>
  <si>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</si>
  <si>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</si>
  <si>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</si>
  <si>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</si>
  <si>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</si>
  <si>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</si>
  <si>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</si>
  <si>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</si>
  <si>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</si>
  <si>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</si>
  <si>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</si>
  <si>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</si>
  <si>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</si>
  <si>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</si>
  <si>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</si>
  <si>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</si>
  <si>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</si>
  <si>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</si>
  <si>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</si>
  <si>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</si>
  <si>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</si>
  <si>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</si>
  <si>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</si>
  <si>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</si>
  <si>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</si>
  <si>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</si>
  <si>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</si>
  <si>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</si>
  <si>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</si>
  <si>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</si>
  <si>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</si>
  <si>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</si>
  <si>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</si>
  <si>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</si>
  <si>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</si>
  <si>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</si>
  <si>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</si>
  <si>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</si>
  <si>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</si>
  <si>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</si>
  <si>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</si>
  <si>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</si>
  <si>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</si>
  <si>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</si>
  <si>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</si>
  <si>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</si>
  <si>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</si>
  <si>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</si>
  <si>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</si>
  <si>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</si>
  <si>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</si>
  <si>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</si>
  <si>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</si>
  <si>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</si>
  <si>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</si>
  <si>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</si>
  <si>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</si>
  <si>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</si>
  <si>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</si>
  <si>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</si>
  <si>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</si>
  <si>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</si>
  <si>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</si>
  <si>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</si>
  <si>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</si>
  <si>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</si>
  <si>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</si>
  <si>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</si>
  <si>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</si>
  <si>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</si>
  <si>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</si>
  <si>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</si>
  <si>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</si>
  <si>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</si>
  <si>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</si>
  <si>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</si>
  <si>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</si>
  <si>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</si>
  <si>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</si>
  <si>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</si>
  <si>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</si>
  <si>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</si>
  <si>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</si>
  <si>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</si>
  <si>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</si>
  <si>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</si>
  <si>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</si>
  <si>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</si>
  <si>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</si>
  <si>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</si>
  <si>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</si>
  <si>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</si>
  <si>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</si>
  <si>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</si>
  <si>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</si>
  <si>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</si>
  <si>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</si>
  <si>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</si>
  <si>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</si>
  <si>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</si>
  <si>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</si>
  <si>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</si>
  <si>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</si>
  <si>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</si>
  <si>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</si>
  <si>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</si>
  <si>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</si>
  <si>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</si>
  <si>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</si>
  <si>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</si>
  <si>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</si>
  <si>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</si>
  <si>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</si>
  <si>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</si>
  <si>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</si>
  <si>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</si>
  <si>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</si>
  <si>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</si>
  <si>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</si>
  <si>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</si>
  <si>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</si>
  <si>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</si>
  <si>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</si>
  <si>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</si>
  <si>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</si>
  <si>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</si>
  <si>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</si>
  <si>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</si>
  <si>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</si>
  <si>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</si>
  <si>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</si>
  <si>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</si>
  <si>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</si>
  <si>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</si>
  <si>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</si>
  <si>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</si>
  <si>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</si>
  <si>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</si>
  <si>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</si>
  <si>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</si>
  <si>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</si>
  <si>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</si>
  <si>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</si>
  <si>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</si>
  <si>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</si>
  <si>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</si>
  <si>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</si>
  <si>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</si>
  <si>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</si>
  <si>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</si>
  <si>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</si>
  <si>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</si>
  <si>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</si>
  <si>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</si>
  <si>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</si>
  <si>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</si>
  <si>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</si>
  <si>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</si>
  <si>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</si>
  <si>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</si>
  <si>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</si>
  <si>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</si>
  <si>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</si>
  <si>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</si>
  <si>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</si>
  <si>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</si>
  <si>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</si>
  <si>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</si>
  <si>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</si>
  <si>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</si>
  <si>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</si>
  <si>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</si>
  <si>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</si>
  <si>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</si>
  <si>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</si>
  <si>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</si>
  <si>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</si>
  <si>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</si>
  <si>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</si>
  <si>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</si>
  <si>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</si>
  <si>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</si>
  <si>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</si>
  <si>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</si>
  <si>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</si>
  <si>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</si>
  <si>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</si>
  <si>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</si>
  <si>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</si>
  <si>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</si>
  <si>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</si>
  <si>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</si>
  <si>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</si>
  <si>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</si>
  <si>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</si>
  <si>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</si>
  <si>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</si>
  <si>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</si>
  <si>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</si>
  <si>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</si>
  <si>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</si>
  <si>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</si>
  <si>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</si>
  <si>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</si>
  <si>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</si>
  <si>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</si>
  <si>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</si>
  <si>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</si>
  <si>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</si>
  <si>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</si>
  <si>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</si>
  <si>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</si>
  <si>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</si>
  <si>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</si>
  <si>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</si>
  <si>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</si>
  <si>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</si>
  <si>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</si>
  <si>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</si>
  <si>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</si>
  <si>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</si>
  <si>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</si>
  <si>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</si>
  <si>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</si>
  <si>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</si>
  <si>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</si>
  <si>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</si>
  <si>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</si>
  <si>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</si>
  <si>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</si>
  <si>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</si>
  <si>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</si>
  <si>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</si>
  <si>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</si>
  <si>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</si>
  <si>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</si>
  <si>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</si>
  <si>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</si>
  <si>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</si>
  <si>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</si>
  <si>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</si>
  <si>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</si>
  <si>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</si>
  <si>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</si>
  <si>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</si>
  <si>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</si>
  <si>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</si>
  <si>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</si>
  <si>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</si>
  <si>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</si>
  <si>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</si>
  <si>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</si>
  <si>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</si>
  <si>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</si>
  <si>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</si>
  <si>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</si>
  <si>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</si>
  <si>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</si>
  <si>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12Feb21: Added extra inputs for the Mecardo method of calcualting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</si>
  <si>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Universal</t>
  </si>
  <si>
    <t>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</si>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</sst>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2392</v>
      </c>
    </row>
    <row r="7" spans="1:5" x14ac:dyDescent="0.25">
      <c r="A7" s="3" t="s">
        <v>2393</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2469</v>
      </c>
      <c r="B11" s="46">
        <v>0.5</v>
      </c>
    </row>
    <row r="12" spans="1:2" x14ac:dyDescent="0.25">
      <c r="A12" s="4" t="s">
        <v>2470</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1">
        <v>1</v>
      </c>
      <c r="J18" s="366" t="s">
        <v>2442</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1">
        <v>1</v>
      </c>
      <c r="J21" s="367" t="s">
        <v>2441</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9"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193</v>
      </c>
      <c r="F41" s="74">
        <v>1</v>
      </c>
      <c r="G41" s="75"/>
      <c r="H41" s="76" t="s">
        <v>2440</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t="s">
        <v>2439</v>
      </c>
      <c r="I46" s="345" t="e">
        <f>AND($I$50:$I$70)</f>
        <v>#REF!</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9"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9"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84"/>
      <c r="AA50" s="66"/>
      <c r="AB50" s="54"/>
      <c r="AC50" s="54"/>
      <c r="AD50" s="54"/>
    </row>
    <row r="51" spans="1:30" outlineLevel="3" x14ac:dyDescent="0.25">
      <c r="A51" s="54"/>
      <c r="B51" s="63"/>
      <c r="C51" s="99" t="e">
        <f>INT(#REF!)+3</f>
        <v>#REF!</v>
      </c>
      <c r="D51" s="84"/>
      <c r="E51" s="79"/>
      <c r="F51" s="79"/>
      <c r="G51" s="84"/>
      <c r="H51" s="87" t="s">
        <v>2438</v>
      </c>
      <c r="I51" s="344" t="str">
        <f>IF(COUNT($J51:$Z51)&gt;1,STDEV($J51:$Z51)=0,"")</f>
        <v/>
      </c>
      <c r="J51" s="87" t="s">
        <v>2443</v>
      </c>
      <c r="K51" s="87" t="s">
        <v>2437</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9" t="e">
        <f>INT(#REF!)+3</f>
        <v>#REF!</v>
      </c>
      <c r="D53" s="84"/>
      <c r="E53" s="79"/>
      <c r="F53" s="79"/>
      <c r="G53" s="84"/>
      <c r="H53" s="87" t="s">
        <v>2436</v>
      </c>
      <c r="I53" s="344" t="e">
        <f t="shared" ref="I53:I63" si="0">IF(COUNT($J53:$Z53)&gt;1,STDEV($J53:$Z53)=0,"")</f>
        <v>#REF!</v>
      </c>
      <c r="J53" s="87">
        <f>COUNTA(#REF!)</f>
        <v>1</v>
      </c>
      <c r="K53" s="87" t="e">
        <f>COUNTIFS(#REF!,"*grid*")</f>
        <v>#REF!</v>
      </c>
      <c r="L53" s="87">
        <f>COUNTA(#REF!)</f>
        <v>1</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t="e">
        <f>INT(#REF!)+3</f>
        <v>#REF!</v>
      </c>
      <c r="D54" s="84"/>
      <c r="E54" s="79"/>
      <c r="F54" s="79"/>
      <c r="G54" s="84"/>
      <c r="H54" s="87" t="s">
        <v>2435</v>
      </c>
      <c r="I54" s="344" t="str">
        <f t="shared" si="0"/>
        <v/>
      </c>
      <c r="J54" s="87" t="s">
        <v>2434</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t="e">
        <f>INT(#REF!)+3</f>
        <v>#REF!</v>
      </c>
      <c r="D55" s="84"/>
      <c r="E55" s="79"/>
      <c r="F55" s="79"/>
      <c r="G55" s="84"/>
      <c r="H55" s="87" t="s">
        <v>2433</v>
      </c>
      <c r="I55" s="344"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9" t="e">
        <f>INT(#REF!)+3</f>
        <v>#REF!</v>
      </c>
      <c r="D56" s="84"/>
      <c r="E56" s="79"/>
      <c r="F56" s="79"/>
      <c r="G56" s="84"/>
      <c r="H56" s="87" t="s">
        <v>2432</v>
      </c>
      <c r="I56" s="344"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9" t="e">
        <f>INT(#REF!)+3</f>
        <v>#REF!</v>
      </c>
      <c r="D57" s="84"/>
      <c r="E57" s="79"/>
      <c r="F57" s="79"/>
      <c r="G57" s="84"/>
      <c r="H57" s="87" t="s">
        <v>2431</v>
      </c>
      <c r="I57" s="344"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9" t="e">
        <f>INT(#REF!)+3</f>
        <v>#REF!</v>
      </c>
      <c r="D58" s="84"/>
      <c r="E58" s="79"/>
      <c r="F58" s="79"/>
      <c r="G58" s="84"/>
      <c r="H58" s="87" t="s">
        <v>2430</v>
      </c>
      <c r="I58" s="344" t="b">
        <f t="shared" si="0"/>
        <v>0</v>
      </c>
      <c r="J58" s="87">
        <f>COUNTA(#REF!)</f>
        <v>1</v>
      </c>
      <c r="K58" s="87">
        <f>COUNTA(#REF!)</f>
        <v>1</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9" t="e">
        <f>INT(#REF!)+3</f>
        <v>#REF!</v>
      </c>
      <c r="D59" s="84"/>
      <c r="E59" s="79"/>
      <c r="F59" s="79"/>
      <c r="G59" s="84"/>
      <c r="H59" s="87" t="s">
        <v>2429</v>
      </c>
      <c r="I59" s="344"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9" t="e">
        <f>INT(#REF!)+3</f>
        <v>#REF!</v>
      </c>
      <c r="D60" s="84"/>
      <c r="E60" s="79"/>
      <c r="F60" s="79"/>
      <c r="G60" s="84"/>
      <c r="H60" s="87" t="s">
        <v>2428</v>
      </c>
      <c r="I60" s="344" t="str">
        <f t="shared" si="0"/>
        <v/>
      </c>
      <c r="J60" s="87">
        <f>COUNTA(#REF!)</f>
        <v>1</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9" t="e">
        <f>INT(#REF!)+3</f>
        <v>#REF!</v>
      </c>
      <c r="D61" s="84"/>
      <c r="E61" s="79"/>
      <c r="F61" s="79"/>
      <c r="G61" s="84"/>
      <c r="H61" s="87" t="s">
        <v>2427</v>
      </c>
      <c r="I61" s="344"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9" t="e">
        <f>INT(#REF!)+3</f>
        <v>#REF!</v>
      </c>
      <c r="D62" s="84"/>
      <c r="E62" s="79"/>
      <c r="F62" s="79"/>
      <c r="G62" s="84"/>
      <c r="H62" s="87"/>
      <c r="I62" s="344"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9" t="e">
        <f>INT(#REF!)+3</f>
        <v>#REF!</v>
      </c>
      <c r="D63" s="84"/>
      <c r="E63" s="79"/>
      <c r="F63" s="79"/>
      <c r="G63" s="84"/>
      <c r="H63" s="87" t="s">
        <v>2426</v>
      </c>
      <c r="I63" s="344"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2425</v>
      </c>
      <c r="T63" s="87"/>
      <c r="U63" s="87"/>
      <c r="V63" s="87"/>
      <c r="W63" s="87"/>
      <c r="X63" s="87"/>
      <c r="Y63" s="87"/>
      <c r="Z63" s="84"/>
      <c r="AA63" s="66"/>
      <c r="AB63" s="54"/>
      <c r="AC63" s="54"/>
      <c r="AD63" s="54"/>
    </row>
    <row r="64" spans="1:30" outlineLevel="2" x14ac:dyDescent="0.25">
      <c r="A64" s="54"/>
      <c r="B64" s="63"/>
      <c r="C64" s="99">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9">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9">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9">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9">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9">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9">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9">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3"/>
      <c r="C72" s="112">
        <f>INT($C$40)+1.005</f>
        <v>2.0049999999999999</v>
      </c>
      <c r="D72" s="95"/>
      <c r="E72" s="95"/>
      <c r="F72" s="95"/>
      <c r="G72" s="95"/>
      <c r="H72" s="95"/>
      <c r="I72" s="95"/>
      <c r="J72" s="95"/>
      <c r="K72" s="95"/>
      <c r="L72" s="95"/>
      <c r="M72" s="95"/>
      <c r="N72" s="95"/>
      <c r="O72" s="95"/>
      <c r="P72" s="95"/>
      <c r="Q72" s="95"/>
      <c r="R72" s="95"/>
      <c r="S72" s="95"/>
      <c r="T72" s="95"/>
      <c r="U72" s="95"/>
      <c r="V72" s="95"/>
      <c r="W72" s="95"/>
      <c r="X72" s="95"/>
      <c r="Y72" s="95"/>
      <c r="Z72" s="95"/>
      <c r="AA72" s="96" t="s">
        <v>213</v>
      </c>
      <c r="AB72" s="54"/>
      <c r="AC72" s="54"/>
      <c r="AD72" s="54"/>
    </row>
    <row r="73" spans="1:30" ht="5.0999999999999996" customHeight="1" x14ac:dyDescent="0.25">
      <c r="A73" s="54"/>
      <c r="B73" s="97"/>
      <c r="C73" s="114">
        <f>INT($C$40)+0.005</f>
        <v>1.0049999999999999</v>
      </c>
      <c r="D73" s="97"/>
      <c r="E73" s="97"/>
      <c r="F73" s="97"/>
      <c r="G73" s="97"/>
      <c r="H73" s="97"/>
      <c r="I73" s="97"/>
      <c r="J73" s="97"/>
      <c r="K73" s="97"/>
      <c r="L73" s="97"/>
      <c r="M73" s="97"/>
      <c r="N73" s="97"/>
      <c r="O73" s="97"/>
      <c r="P73" s="97"/>
      <c r="Q73" s="97"/>
      <c r="R73" s="97"/>
      <c r="S73" s="97"/>
      <c r="T73" s="97"/>
      <c r="U73" s="97"/>
      <c r="V73" s="97"/>
      <c r="W73" s="97"/>
      <c r="X73" s="97"/>
      <c r="Y73" s="97"/>
      <c r="Z73" s="97"/>
      <c r="AA73" s="97"/>
      <c r="AB73" s="54"/>
      <c r="AC73" s="54"/>
      <c r="AD73" s="54"/>
    </row>
    <row r="74" spans="1:30" outlineLevel="2" x14ac:dyDescent="0.25">
      <c r="A74" s="54"/>
      <c r="B74" s="54"/>
      <c r="C74" s="99">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9" t="s">
        <v>524</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outlinePr summaryBelow="0" summaryRight="0"/>
  </sheetPr>
  <dimension ref="A1:AT414"/>
  <sheetViews>
    <sheetView tabSelected="1" topLeftCell="A310" zoomScale="91" zoomScaleNormal="91" workbookViewId="0">
      <selection activeCell="L400" sqref="L400"/>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41">
        <v>44239</v>
      </c>
      <c r="J18" s="370" t="s">
        <v>2444</v>
      </c>
      <c r="K18" s="366"/>
      <c r="L18" s="366"/>
      <c r="M18" s="366"/>
      <c r="N18" s="366"/>
      <c r="O18" s="366"/>
      <c r="P18" s="366"/>
      <c r="Q18" s="366"/>
      <c r="R18" s="366"/>
      <c r="S18" s="366"/>
      <c r="T18" s="366"/>
      <c r="U18" s="366"/>
      <c r="V18" s="366"/>
      <c r="W18" s="366"/>
      <c r="X18" s="366"/>
      <c r="Y18" s="346"/>
      <c r="Z18" s="346"/>
      <c r="AA18" s="346"/>
      <c r="AB18" s="346"/>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88" t="s">
        <v>2445</v>
      </c>
      <c r="J21" s="367" t="s">
        <v>2446</v>
      </c>
      <c r="K21" s="368"/>
      <c r="L21" s="368"/>
      <c r="M21" s="368"/>
      <c r="N21" s="368"/>
      <c r="O21" s="368"/>
      <c r="P21" s="368"/>
      <c r="Q21" s="368"/>
      <c r="R21" s="368"/>
      <c r="S21" s="368"/>
      <c r="T21" s="368"/>
      <c r="U21" s="368"/>
      <c r="V21" s="368"/>
      <c r="W21" s="368"/>
      <c r="X21" s="369"/>
      <c r="Y21" s="89"/>
      <c r="Z21" s="89"/>
      <c r="AA21" s="89"/>
      <c r="AB21" s="89"/>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0999999999999996" customHeight="1" collapsed="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9">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9">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9">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9">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9">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9">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9">
        <f>INT($C$40)+1</f>
        <v>2</v>
      </c>
      <c r="D50" s="84"/>
      <c r="E50" s="79"/>
      <c r="F50" s="79"/>
      <c r="G50" s="84"/>
      <c r="H50" s="102" t="s">
        <v>215</v>
      </c>
      <c r="I50" s="103" t="str">
        <f>"("&amp;ROWS(i_scan_coeff_l0s)&amp;","&amp;COLUMNS(i_scan_coeff_l0s)&amp;"): i_scan_coeff_l0s(pointers) = input"</f>
        <v>(4,5): i_scan_coeff_l0s(pointers) = input</v>
      </c>
      <c r="J50" s="104"/>
      <c r="K50" s="104"/>
      <c r="L50" s="104"/>
      <c r="M50" s="104"/>
      <c r="N50" s="104"/>
      <c r="O50" s="104"/>
      <c r="P50" s="104"/>
      <c r="Q50" s="104"/>
      <c r="R50" s="104"/>
      <c r="S50" s="104"/>
      <c r="T50" s="104"/>
      <c r="U50" s="104"/>
      <c r="V50" s="104"/>
      <c r="W50" s="104"/>
      <c r="X50" s="104"/>
      <c r="Y50" s="104"/>
      <c r="Z50" s="105"/>
      <c r="AA50" s="105"/>
      <c r="AB50" s="105"/>
      <c r="AC50" s="105"/>
      <c r="AD50" s="105"/>
      <c r="AE50" s="105"/>
      <c r="AF50" s="105"/>
      <c r="AG50" s="105"/>
      <c r="AH50" s="84"/>
      <c r="AI50" s="66"/>
      <c r="AJ50" s="54"/>
      <c r="AK50" s="54"/>
      <c r="AL50" s="54"/>
    </row>
    <row r="51" spans="1:38" ht="5.0999999999999996" hidden="1" customHeight="1" outlineLevel="2" x14ac:dyDescent="0.25">
      <c r="A51" s="54"/>
      <c r="B51" s="63"/>
      <c r="C51" s="99">
        <f>INT($C$40)+2.005</f>
        <v>3.0049999999999999</v>
      </c>
      <c r="D51" s="84" t="s">
        <v>200</v>
      </c>
      <c r="E51" s="84"/>
      <c r="F51" s="84"/>
      <c r="G51" s="84"/>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84"/>
      <c r="AI51" s="66"/>
      <c r="AJ51" s="54"/>
      <c r="AK51" s="54"/>
      <c r="AL51" s="54"/>
    </row>
    <row r="52" spans="1:38" hidden="1" outlineLevel="2" x14ac:dyDescent="0.25">
      <c r="A52" s="54"/>
      <c r="B52" s="63"/>
      <c r="C52" s="99">
        <f>INT($C$40)+2</f>
        <v>3</v>
      </c>
      <c r="D52" s="84"/>
      <c r="E52" s="79"/>
      <c r="F52" s="79"/>
      <c r="G52" s="84"/>
      <c r="H52" s="87"/>
      <c r="I52" s="87"/>
      <c r="J52" s="107" t="s">
        <v>216</v>
      </c>
      <c r="K52" s="107"/>
      <c r="L52" s="107"/>
      <c r="M52" s="107"/>
      <c r="N52" s="107"/>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9">
        <f>INT($C$40)+2</f>
        <v>3</v>
      </c>
      <c r="D53" s="84"/>
      <c r="E53" s="79"/>
      <c r="F53" s="79"/>
      <c r="G53" s="84"/>
      <c r="H53" s="87" t="s">
        <v>217</v>
      </c>
      <c r="I53" s="87" t="s">
        <v>218</v>
      </c>
      <c r="J53" s="108" t="str">
        <f>IF(J$49 = 0, "Intercept","Scan^"&amp;J$49)</f>
        <v>Intercept</v>
      </c>
      <c r="K53" s="108" t="str">
        <f>IF(K$49 = 0, "Intercept","Scan^"&amp;K$49)</f>
        <v>Scan^1</v>
      </c>
      <c r="L53" s="108" t="str">
        <f>IF(L$49 = 0, "Intercept","Scan^"&amp;L$49)</f>
        <v>Scan^2</v>
      </c>
      <c r="M53" s="108" t="str">
        <f>IF(M$49 = 0, "Intercept","Scan^"&amp;M$49)</f>
        <v>Scan^3</v>
      </c>
      <c r="N53" s="108"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9">
        <f>INT($C$40)+2</f>
        <v>3</v>
      </c>
      <c r="D54" s="84"/>
      <c r="E54" s="79"/>
      <c r="F54" s="79">
        <v>0</v>
      </c>
      <c r="G54" s="84"/>
      <c r="H54" s="87" t="s">
        <v>219</v>
      </c>
      <c r="I54" s="90" t="s">
        <v>220</v>
      </c>
      <c r="J54" s="109">
        <v>0.78159999999999996</v>
      </c>
      <c r="K54" s="109">
        <v>-0.84130000000000005</v>
      </c>
      <c r="L54" s="109">
        <v>0.2828</v>
      </c>
      <c r="M54" s="109">
        <v>-2.3699999999999999E-2</v>
      </c>
      <c r="N54" s="109">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9">
        <f>INT($C$40)+2</f>
        <v>3</v>
      </c>
      <c r="D55" s="84"/>
      <c r="E55" s="79"/>
      <c r="F55" s="79">
        <v>1</v>
      </c>
      <c r="G55" s="84"/>
      <c r="H55" s="87"/>
      <c r="I55" s="90" t="s">
        <v>221</v>
      </c>
      <c r="J55" s="109">
        <v>0.3306</v>
      </c>
      <c r="K55" s="109">
        <v>1.1754</v>
      </c>
      <c r="L55" s="109">
        <v>-1.1528</v>
      </c>
      <c r="M55" s="109">
        <v>0.2606</v>
      </c>
      <c r="N55" s="109">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9">
        <f>INT($C$40)+3</f>
        <v>4</v>
      </c>
      <c r="D56" s="84"/>
      <c r="E56" s="79"/>
      <c r="F56" s="79">
        <v>2</v>
      </c>
      <c r="G56" s="84"/>
      <c r="H56" s="87"/>
      <c r="I56" s="90" t="s">
        <v>222</v>
      </c>
      <c r="J56" s="109">
        <v>-0.47739999999999999</v>
      </c>
      <c r="K56" s="109">
        <v>0.19259999999999999</v>
      </c>
      <c r="L56" s="109">
        <v>0.73760000000000003</v>
      </c>
      <c r="M56" s="109">
        <v>-0.28439999999999999</v>
      </c>
      <c r="N56" s="109">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9">
        <f>INT($C$40)+3</f>
        <v>4</v>
      </c>
      <c r="D57" s="84"/>
      <c r="E57" s="79"/>
      <c r="F57" s="79">
        <v>3</v>
      </c>
      <c r="G57" s="84"/>
      <c r="H57" s="87"/>
      <c r="I57" s="90" t="s">
        <v>223</v>
      </c>
      <c r="J57" s="109">
        <v>-2.3618000000000001</v>
      </c>
      <c r="K57" s="109">
        <v>6.9584999999999999</v>
      </c>
      <c r="L57" s="109">
        <v>-7.4275000000000002</v>
      </c>
      <c r="M57" s="109">
        <v>3.3826999999999998</v>
      </c>
      <c r="N57" s="109">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9">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9">
        <f t="shared" si="0"/>
        <v>3</v>
      </c>
      <c r="D59" s="84"/>
      <c r="E59" s="79"/>
      <c r="F59" s="79"/>
      <c r="G59" s="84"/>
      <c r="H59" s="87" t="s">
        <v>2405</v>
      </c>
      <c r="I59" s="87"/>
      <c r="J59" s="111">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9">
        <f>INT($C$40)+3.005</f>
        <v>4.0049999999999999</v>
      </c>
      <c r="D60" s="84"/>
      <c r="E60" s="84"/>
      <c r="F60" s="84"/>
      <c r="G60" s="84"/>
      <c r="H60" s="84"/>
      <c r="I60" s="110"/>
      <c r="J60" s="110"/>
      <c r="K60" s="110"/>
      <c r="L60" s="110"/>
      <c r="M60" s="110"/>
      <c r="N60" s="110"/>
      <c r="O60" s="110"/>
      <c r="P60" s="110"/>
      <c r="Q60" s="110"/>
      <c r="R60" s="110"/>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9">
        <f>INT($C$40)+1</f>
        <v>2</v>
      </c>
      <c r="D61" s="84"/>
      <c r="E61" s="79"/>
      <c r="F61" s="79"/>
      <c r="G61" s="84"/>
      <c r="H61" s="102" t="s">
        <v>224</v>
      </c>
      <c r="I61" s="103" t="str">
        <f>"("&amp;ROWS(i_cu5_c5)-2&amp;","&amp;COLUMNS(i_cu5_c5)-1&amp;"): i_cu5_c5(pointers) = input"</f>
        <v>(7,5): i_cu5_c5(pointers) = input</v>
      </c>
      <c r="J61" s="104"/>
      <c r="K61" s="104"/>
      <c r="L61" s="104"/>
      <c r="M61" s="104"/>
      <c r="N61" s="104"/>
      <c r="O61" s="104"/>
      <c r="P61" s="104"/>
      <c r="Q61" s="104"/>
      <c r="R61" s="104"/>
      <c r="S61" s="104"/>
      <c r="T61" s="104"/>
      <c r="U61" s="104"/>
      <c r="V61" s="104"/>
      <c r="W61" s="104"/>
      <c r="X61" s="104"/>
      <c r="Y61" s="104"/>
      <c r="Z61" s="105"/>
      <c r="AA61" s="105"/>
      <c r="AB61" s="105"/>
      <c r="AC61" s="105"/>
      <c r="AD61" s="105"/>
      <c r="AE61" s="105"/>
      <c r="AF61" s="105"/>
      <c r="AG61" s="105"/>
      <c r="AH61" s="84"/>
      <c r="AI61" s="66"/>
      <c r="AJ61" s="54"/>
      <c r="AK61" s="54"/>
      <c r="AL61" s="54"/>
    </row>
    <row r="62" spans="1:38" ht="5.0999999999999996" hidden="1" customHeight="1" outlineLevel="3" x14ac:dyDescent="0.25">
      <c r="A62" s="54"/>
      <c r="B62" s="63"/>
      <c r="C62" s="99">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9">
        <f t="shared" ref="C63:C68" si="1">INT($C$40)+2</f>
        <v>3</v>
      </c>
      <c r="D63" s="84"/>
      <c r="E63" s="79"/>
      <c r="F63" s="79"/>
      <c r="G63" s="84"/>
      <c r="H63" s="87" t="s">
        <v>225</v>
      </c>
      <c r="I63" s="108"/>
      <c r="J63" s="108"/>
      <c r="K63" s="108"/>
      <c r="L63" s="108"/>
      <c r="M63" s="108"/>
      <c r="N63" s="108"/>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9">
        <f t="shared" si="1"/>
        <v>3</v>
      </c>
      <c r="D64" s="84"/>
      <c r="E64" s="79"/>
      <c r="F64" s="79"/>
      <c r="G64" s="84"/>
      <c r="H64" s="87"/>
      <c r="I64" s="108" t="s">
        <v>226</v>
      </c>
      <c r="J64" s="108" t="s">
        <v>227</v>
      </c>
      <c r="K64" s="108" t="s">
        <v>228</v>
      </c>
      <c r="L64" s="108"/>
      <c r="M64" s="108"/>
      <c r="N64" s="108"/>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9">
        <f t="shared" si="1"/>
        <v>3</v>
      </c>
      <c r="D65" s="84"/>
      <c r="E65" s="79"/>
      <c r="F65" s="79"/>
      <c r="G65" s="84"/>
      <c r="H65" s="90" t="s">
        <v>229</v>
      </c>
      <c r="I65" s="111">
        <v>3</v>
      </c>
      <c r="J65" s="111">
        <v>4</v>
      </c>
      <c r="K65" s="111">
        <v>5</v>
      </c>
      <c r="L65" s="108"/>
      <c r="M65" s="108"/>
      <c r="N65" s="108"/>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9">
        <f t="shared" si="1"/>
        <v>3</v>
      </c>
      <c r="D66" s="84"/>
      <c r="E66" s="79"/>
      <c r="F66" s="79"/>
      <c r="G66" s="84"/>
      <c r="H66" s="87"/>
      <c r="I66" s="107" t="s">
        <v>230</v>
      </c>
      <c r="J66" s="107"/>
      <c r="K66" s="107"/>
      <c r="L66" s="107"/>
      <c r="M66" s="108" t="s">
        <v>227</v>
      </c>
      <c r="N66" s="108"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9">
        <f t="shared" si="1"/>
        <v>3</v>
      </c>
      <c r="D67" s="84"/>
      <c r="E67" s="79"/>
      <c r="F67" s="79"/>
      <c r="G67" s="84"/>
      <c r="H67" s="87"/>
      <c r="I67" s="108" t="s">
        <v>231</v>
      </c>
      <c r="J67" s="108" t="s">
        <v>232</v>
      </c>
      <c r="K67" s="108" t="s">
        <v>233</v>
      </c>
      <c r="L67" s="108" t="s">
        <v>234</v>
      </c>
      <c r="M67" s="108" t="s">
        <v>234</v>
      </c>
      <c r="N67" s="108"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9">
        <f t="shared" si="1"/>
        <v>3</v>
      </c>
      <c r="D68" s="84"/>
      <c r="E68" s="79"/>
      <c r="F68" s="79"/>
      <c r="G68" s="84"/>
      <c r="H68" s="87" t="s">
        <v>235</v>
      </c>
      <c r="I68" s="109">
        <v>2.76E-2</v>
      </c>
      <c r="J68" s="109">
        <v>0.45</v>
      </c>
      <c r="K68" s="109">
        <v>0.52</v>
      </c>
      <c r="L68" s="109">
        <v>0.43</v>
      </c>
      <c r="M68" s="109">
        <v>0.3</v>
      </c>
      <c r="N68" s="109">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9">
        <f t="shared" ref="C69:C74" si="2">INT($C$40+3)</f>
        <v>4</v>
      </c>
      <c r="D69" s="84"/>
      <c r="E69" s="79"/>
      <c r="F69" s="79"/>
      <c r="G69" s="84"/>
      <c r="H69" s="87" t="s">
        <v>236</v>
      </c>
      <c r="I69" s="109">
        <v>-3.3099999999999997E-2</v>
      </c>
      <c r="J69" s="109">
        <v>0.41</v>
      </c>
      <c r="K69" s="109">
        <v>0.47</v>
      </c>
      <c r="L69" s="109">
        <v>0.35</v>
      </c>
      <c r="M69" s="109">
        <v>-0.37</v>
      </c>
      <c r="N69" s="109">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9">
        <f t="shared" si="2"/>
        <v>4</v>
      </c>
      <c r="D70" s="84"/>
      <c r="E70" s="79"/>
      <c r="F70" s="79"/>
      <c r="G70" s="84"/>
      <c r="H70" s="87" t="s">
        <v>237</v>
      </c>
      <c r="I70" s="109">
        <v>-0.113</v>
      </c>
      <c r="J70" s="109">
        <v>0.7</v>
      </c>
      <c r="K70" s="109">
        <v>0.95</v>
      </c>
      <c r="L70" s="109">
        <v>1.38</v>
      </c>
      <c r="M70" s="109">
        <v>-0.88</v>
      </c>
      <c r="N70" s="109">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9">
        <f t="shared" si="2"/>
        <v>4</v>
      </c>
      <c r="D71" s="84"/>
      <c r="E71" s="79"/>
      <c r="F71" s="79"/>
      <c r="G71" s="84"/>
      <c r="H71" s="87" t="s">
        <v>238</v>
      </c>
      <c r="I71" s="109">
        <v>1.2500000000000001E-2</v>
      </c>
      <c r="J71" s="109">
        <v>0</v>
      </c>
      <c r="K71" s="109">
        <v>-0.19</v>
      </c>
      <c r="L71" s="109">
        <v>-0.15</v>
      </c>
      <c r="M71" s="109">
        <v>0.17</v>
      </c>
      <c r="N71" s="109">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9">
        <f t="shared" si="2"/>
        <v>4</v>
      </c>
      <c r="D72" s="84"/>
      <c r="E72" s="79"/>
      <c r="F72" s="79"/>
      <c r="G72" s="84"/>
      <c r="H72" s="87" t="s">
        <v>239</v>
      </c>
      <c r="I72" s="109">
        <v>45</v>
      </c>
      <c r="J72" s="109">
        <v>0</v>
      </c>
      <c r="K72" s="109">
        <v>45</v>
      </c>
      <c r="L72" s="109">
        <v>0</v>
      </c>
      <c r="M72" s="109">
        <v>0</v>
      </c>
      <c r="N72" s="109">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9">
        <f t="shared" si="2"/>
        <v>4</v>
      </c>
      <c r="D73" s="84"/>
      <c r="E73" s="79"/>
      <c r="F73" s="79"/>
      <c r="G73" s="84"/>
      <c r="H73" s="87" t="s">
        <v>240</v>
      </c>
      <c r="I73" s="109">
        <v>0</v>
      </c>
      <c r="J73" s="109">
        <v>0</v>
      </c>
      <c r="K73" s="109">
        <v>-0.45</v>
      </c>
      <c r="L73" s="109">
        <v>-0.45</v>
      </c>
      <c r="M73" s="109">
        <v>0</v>
      </c>
      <c r="N73" s="109">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9">
        <f t="shared" si="2"/>
        <v>4</v>
      </c>
      <c r="D74" s="84"/>
      <c r="E74" s="79"/>
      <c r="F74" s="79"/>
      <c r="G74" s="84"/>
      <c r="H74" s="87" t="s">
        <v>241</v>
      </c>
      <c r="I74" s="109">
        <v>0</v>
      </c>
      <c r="J74" s="109">
        <v>0</v>
      </c>
      <c r="K74" s="109">
        <v>0</v>
      </c>
      <c r="L74" s="109">
        <v>-0.59</v>
      </c>
      <c r="M74" s="109">
        <v>0</v>
      </c>
      <c r="N74" s="109">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9">
        <f>INT($C$40)+3</f>
        <v>4</v>
      </c>
      <c r="D75" s="84"/>
      <c r="E75" s="79"/>
      <c r="F75" s="79"/>
      <c r="G75" s="84"/>
      <c r="H75" s="87" t="s">
        <v>242</v>
      </c>
      <c r="I75" s="109">
        <v>0</v>
      </c>
      <c r="J75" s="109">
        <v>0</v>
      </c>
      <c r="K75" s="109">
        <v>0</v>
      </c>
      <c r="L75" s="109">
        <v>-0.32</v>
      </c>
      <c r="M75" s="109">
        <v>0.38</v>
      </c>
      <c r="N75" s="109">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9">
        <f>INT($C$40)+3</f>
        <v>4</v>
      </c>
      <c r="D76" s="84"/>
      <c r="E76" s="79"/>
      <c r="F76" s="79"/>
      <c r="G76" s="84"/>
      <c r="H76" s="87" t="s">
        <v>243</v>
      </c>
      <c r="I76" s="109">
        <v>0.56100000000000005</v>
      </c>
      <c r="J76" s="109">
        <v>-5.7</v>
      </c>
      <c r="K76" s="109">
        <v>-3.5</v>
      </c>
      <c r="L76" s="109">
        <v>21.8</v>
      </c>
      <c r="M76" s="109">
        <v>35.6</v>
      </c>
      <c r="N76" s="109">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9">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9">
        <f>INT($C$40)+2.005</f>
        <v>3.0049999999999999</v>
      </c>
      <c r="D78" s="84"/>
      <c r="E78" s="84"/>
      <c r="F78" s="84"/>
      <c r="G78" s="84"/>
      <c r="H78" s="84"/>
      <c r="I78" s="110"/>
      <c r="J78" s="110"/>
      <c r="K78" s="110"/>
      <c r="L78" s="110"/>
      <c r="M78" s="110"/>
      <c r="N78" s="110"/>
      <c r="O78" s="110"/>
      <c r="P78" s="110"/>
      <c r="Q78" s="110"/>
      <c r="R78" s="110"/>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3"/>
      <c r="C79" s="112">
        <f>INT($C$40)+1.005</f>
        <v>2.0049999999999999</v>
      </c>
      <c r="D79" s="95"/>
      <c r="E79" s="95"/>
      <c r="F79" s="95"/>
      <c r="G79" s="95"/>
      <c r="H79" s="95"/>
      <c r="I79" s="113"/>
      <c r="J79" s="113"/>
      <c r="K79" s="113"/>
      <c r="L79" s="113"/>
      <c r="M79" s="113"/>
      <c r="N79" s="113"/>
      <c r="O79" s="113"/>
      <c r="P79" s="113"/>
      <c r="Q79" s="113"/>
      <c r="R79" s="113"/>
      <c r="S79" s="95"/>
      <c r="T79" s="95"/>
      <c r="U79" s="95"/>
      <c r="V79" s="95"/>
      <c r="W79" s="95"/>
      <c r="X79" s="95"/>
      <c r="Y79" s="95"/>
      <c r="Z79" s="95"/>
      <c r="AA79" s="95"/>
      <c r="AB79" s="95"/>
      <c r="AC79" s="95"/>
      <c r="AD79" s="95"/>
      <c r="AE79" s="95"/>
      <c r="AF79" s="95"/>
      <c r="AG79" s="95"/>
      <c r="AH79" s="95"/>
      <c r="AI79" s="96" t="s">
        <v>213</v>
      </c>
      <c r="AJ79" s="54"/>
      <c r="AK79" s="54"/>
      <c r="AL79" s="54"/>
    </row>
    <row r="80" spans="1:38" ht="5.0999999999999996" customHeight="1" collapsed="1" x14ac:dyDescent="0.25">
      <c r="A80" s="54"/>
      <c r="B80" s="97"/>
      <c r="C80" s="114">
        <f>INT($C$40)+0.005</f>
        <v>1.0049999999999999</v>
      </c>
      <c r="D80" s="97"/>
      <c r="E80" s="97"/>
      <c r="F80" s="97"/>
      <c r="G80" s="97"/>
      <c r="H80" s="97"/>
      <c r="I80" s="115"/>
      <c r="J80" s="115"/>
      <c r="K80" s="115"/>
      <c r="L80" s="115"/>
      <c r="M80" s="115"/>
      <c r="N80" s="115"/>
      <c r="O80" s="115"/>
      <c r="P80" s="115"/>
      <c r="Q80" s="115"/>
      <c r="R80" s="115"/>
      <c r="S80" s="97"/>
      <c r="T80" s="97"/>
      <c r="U80" s="97"/>
      <c r="V80" s="97"/>
      <c r="W80" s="97"/>
      <c r="X80" s="97"/>
      <c r="Y80" s="97"/>
      <c r="Z80" s="97"/>
      <c r="AA80" s="97"/>
      <c r="AB80" s="97"/>
      <c r="AC80" s="97"/>
      <c r="AD80" s="97"/>
      <c r="AE80" s="97"/>
      <c r="AF80" s="97"/>
      <c r="AG80" s="97"/>
      <c r="AH80" s="97"/>
      <c r="AI80" s="97"/>
      <c r="AJ80" s="54"/>
      <c r="AK80" s="54"/>
      <c r="AL80" s="54"/>
    </row>
    <row r="81" spans="1:38" hidden="1" outlineLevel="2" x14ac:dyDescent="0.25">
      <c r="A81" s="54"/>
      <c r="B81" s="54"/>
      <c r="C81" s="99">
        <f>INT($C$40)+2</f>
        <v>3</v>
      </c>
      <c r="D81" s="54"/>
      <c r="E81" s="54"/>
      <c r="F81" s="54"/>
      <c r="G81" s="54"/>
      <c r="H81" s="54"/>
      <c r="I81" s="116"/>
      <c r="J81" s="116"/>
      <c r="K81" s="116"/>
      <c r="L81" s="116"/>
      <c r="M81" s="116"/>
      <c r="N81" s="116"/>
      <c r="O81" s="116"/>
      <c r="P81" s="116"/>
      <c r="Q81" s="116"/>
      <c r="R81" s="116"/>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9">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100">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1">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9">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9">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99">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9">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9">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9">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9">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9">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197</v>
      </c>
      <c r="C93" s="99">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9">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hidden="1" outlineLevel="4" x14ac:dyDescent="0.25">
      <c r="A95" s="54"/>
      <c r="B95" s="63" t="s">
        <v>198</v>
      </c>
      <c r="C95" s="99">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collapsed="1" x14ac:dyDescent="0.25">
      <c r="A96" s="54"/>
      <c r="B96" s="63"/>
      <c r="C96" s="99">
        <f>INT($C$86)+1</f>
        <v>2</v>
      </c>
      <c r="D96" s="84"/>
      <c r="E96" s="79"/>
      <c r="F96" s="79"/>
      <c r="G96" s="84"/>
      <c r="H96" s="102" t="s">
        <v>244</v>
      </c>
      <c r="I96" s="103" t="str">
        <f>"("&amp;ROWS(i_woolp_fd_range_w4)&amp;","&amp;COLUMNS(i_woolp_fd_range_w4)&amp;"): i_woolp_fd_w4(pointers) = inputs"</f>
        <v>(13,1): i_woolp_fd_w4(pointers) = inputs</v>
      </c>
      <c r="J96" s="104"/>
      <c r="K96" s="104"/>
      <c r="L96" s="104"/>
      <c r="M96" s="104"/>
      <c r="N96" s="104"/>
      <c r="O96" s="104"/>
      <c r="P96" s="104"/>
      <c r="Q96" s="104"/>
      <c r="R96" s="104"/>
      <c r="S96" s="104"/>
      <c r="T96" s="104"/>
      <c r="U96" s="104"/>
      <c r="V96" s="104"/>
      <c r="W96" s="104"/>
      <c r="X96" s="104"/>
      <c r="Y96" s="104"/>
      <c r="Z96" s="105"/>
      <c r="AA96" s="105"/>
      <c r="AB96" s="105"/>
      <c r="AC96" s="105"/>
      <c r="AD96" s="105"/>
      <c r="AE96" s="105"/>
      <c r="AF96" s="105"/>
      <c r="AG96" s="105"/>
      <c r="AH96" s="84"/>
      <c r="AI96" s="66"/>
      <c r="AJ96" s="54"/>
      <c r="AK96" s="54"/>
      <c r="AL96" s="54"/>
    </row>
    <row r="97" spans="1:46" ht="5.0999999999999996" hidden="1" customHeight="1" outlineLevel="3" x14ac:dyDescent="0.25">
      <c r="A97" s="54"/>
      <c r="B97" s="63"/>
      <c r="C97" s="99">
        <f>INT($C$86)+3.005</f>
        <v>4.0049999999999999</v>
      </c>
      <c r="D97" s="84" t="s">
        <v>200</v>
      </c>
      <c r="E97" s="84"/>
      <c r="F97" s="84"/>
      <c r="G97" s="84"/>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84"/>
      <c r="AI97" s="66"/>
      <c r="AJ97" s="54"/>
      <c r="AK97" s="54"/>
      <c r="AL97" s="54"/>
    </row>
    <row r="98" spans="1:46" hidden="1" outlineLevel="2" x14ac:dyDescent="0.25">
      <c r="A98" s="54"/>
      <c r="B98" s="63"/>
      <c r="C98" s="99">
        <f>INT($C$86)+2</f>
        <v>3</v>
      </c>
      <c r="D98" s="84"/>
      <c r="E98" s="79"/>
      <c r="F98" s="79"/>
      <c r="G98" s="84"/>
      <c r="H98" s="117"/>
      <c r="I98" s="118" t="s">
        <v>245</v>
      </c>
      <c r="J98" s="119"/>
      <c r="K98" s="119"/>
      <c r="L98" s="118" t="s">
        <v>246</v>
      </c>
      <c r="M98" s="119"/>
      <c r="N98" s="119"/>
      <c r="O98" s="118" t="s">
        <v>247</v>
      </c>
      <c r="P98" s="119"/>
      <c r="Q98" s="119"/>
      <c r="R98" s="119"/>
      <c r="S98" s="119" t="s">
        <v>248</v>
      </c>
      <c r="T98" s="119"/>
      <c r="U98" s="119" t="s">
        <v>249</v>
      </c>
      <c r="V98" s="119"/>
      <c r="W98" s="118" t="s">
        <v>250</v>
      </c>
      <c r="X98" s="119"/>
      <c r="Y98" s="119"/>
      <c r="Z98" s="119"/>
      <c r="AA98" s="119"/>
      <c r="AB98" s="119"/>
      <c r="AC98" s="119"/>
      <c r="AD98" s="87" t="s">
        <v>251</v>
      </c>
      <c r="AE98" s="87"/>
      <c r="AF98" s="87"/>
      <c r="AG98" s="87"/>
      <c r="AH98" s="84"/>
      <c r="AI98" s="66"/>
      <c r="AJ98" s="54"/>
      <c r="AK98" s="54"/>
      <c r="AL98" s="54"/>
      <c r="AM98" t="s">
        <v>2447</v>
      </c>
      <c r="AR98" t="s">
        <v>2448</v>
      </c>
    </row>
    <row r="99" spans="1:46" hidden="1" outlineLevel="2" x14ac:dyDescent="0.25">
      <c r="A99" s="54"/>
      <c r="B99" s="63"/>
      <c r="C99" s="99">
        <f>INT($C$86)+2</f>
        <v>3</v>
      </c>
      <c r="D99" s="84"/>
      <c r="E99" s="79"/>
      <c r="F99" s="79"/>
      <c r="G99" s="84"/>
      <c r="H99" s="87"/>
      <c r="I99" s="107" t="s">
        <v>252</v>
      </c>
      <c r="J99" s="107"/>
      <c r="K99" s="107"/>
      <c r="L99" s="107" t="s">
        <v>253</v>
      </c>
      <c r="M99" s="107"/>
      <c r="N99" s="107"/>
      <c r="O99" s="108" t="s">
        <v>254</v>
      </c>
      <c r="P99" s="108" t="s">
        <v>255</v>
      </c>
      <c r="Q99" s="108" t="s">
        <v>256</v>
      </c>
      <c r="R99" s="108" t="s">
        <v>257</v>
      </c>
      <c r="S99" s="108" t="s">
        <v>254</v>
      </c>
      <c r="T99" s="108" t="s">
        <v>258</v>
      </c>
      <c r="U99" s="108" t="s">
        <v>254</v>
      </c>
      <c r="V99" s="108" t="s">
        <v>258</v>
      </c>
      <c r="W99" s="107" t="s">
        <v>259</v>
      </c>
      <c r="X99" s="107"/>
      <c r="Y99" s="107"/>
      <c r="Z99" s="107"/>
      <c r="AA99" s="107"/>
      <c r="AB99" s="107"/>
      <c r="AC99" s="87" t="s">
        <v>260</v>
      </c>
      <c r="AD99" s="87" t="s">
        <v>2449</v>
      </c>
      <c r="AE99" s="87"/>
      <c r="AF99" s="87"/>
      <c r="AG99" s="87"/>
      <c r="AH99" s="84"/>
      <c r="AI99" s="66"/>
      <c r="AJ99" s="54"/>
      <c r="AK99" s="54"/>
      <c r="AL99" s="54"/>
      <c r="AM99" t="s">
        <v>261</v>
      </c>
      <c r="AR99" t="str">
        <f>"Calculated from "&amp;AM101</f>
        <v>Calculated from Inputs from Mecardo (Andrew Wood) Nov 2020</v>
      </c>
    </row>
    <row r="100" spans="1:46" hidden="1" outlineLevel="3" x14ac:dyDescent="0.25">
      <c r="A100" s="54"/>
      <c r="B100" s="63"/>
      <c r="C100" s="99">
        <f t="shared" ref="C100:C113" si="3">INT($C$86)+3</f>
        <v>4</v>
      </c>
      <c r="D100" s="84"/>
      <c r="E100" s="79"/>
      <c r="F100" s="79" t="s">
        <v>262</v>
      </c>
      <c r="G100" s="84"/>
      <c r="H100" s="120" t="s">
        <v>2450</v>
      </c>
      <c r="I100" s="91">
        <v>20</v>
      </c>
      <c r="J100" s="91">
        <v>50</v>
      </c>
      <c r="K100" s="91">
        <v>80</v>
      </c>
      <c r="L100" s="92">
        <v>0.01</v>
      </c>
      <c r="M100" s="92">
        <v>0.02</v>
      </c>
      <c r="N100" s="92">
        <v>0.05</v>
      </c>
      <c r="O100" s="91">
        <v>40</v>
      </c>
      <c r="P100" s="91">
        <v>60</v>
      </c>
      <c r="Q100" s="91">
        <v>80</v>
      </c>
      <c r="R100" s="91">
        <v>95</v>
      </c>
      <c r="S100" s="91">
        <v>0</v>
      </c>
      <c r="T100" s="91">
        <v>100</v>
      </c>
      <c r="U100" s="91">
        <v>0</v>
      </c>
      <c r="V100" s="91">
        <v>100</v>
      </c>
      <c r="W100" s="91" t="s">
        <v>263</v>
      </c>
      <c r="X100" s="91" t="s">
        <v>264</v>
      </c>
      <c r="Y100" s="91" t="s">
        <v>265</v>
      </c>
      <c r="Z100" s="91" t="s">
        <v>266</v>
      </c>
      <c r="AA100" s="91" t="s">
        <v>267</v>
      </c>
      <c r="AB100" s="91" t="s">
        <v>268</v>
      </c>
      <c r="AC100" s="121"/>
      <c r="AD100" s="122">
        <f>I100</f>
        <v>20</v>
      </c>
      <c r="AE100" s="122">
        <f>J100</f>
        <v>50</v>
      </c>
      <c r="AF100" s="122">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hidden="1" outlineLevel="3" x14ac:dyDescent="0.25">
      <c r="A101" s="54"/>
      <c r="B101" s="63"/>
      <c r="C101" s="99">
        <f t="shared" si="3"/>
        <v>4</v>
      </c>
      <c r="D101" s="84"/>
      <c r="E101" s="79"/>
      <c r="F101" s="79">
        <f t="shared" ref="F101:F110" si="6">($J102-$J101)/($H102-$H101)</f>
        <v>-146.88774438534574</v>
      </c>
      <c r="G101" s="84"/>
      <c r="H101" s="91">
        <v>13</v>
      </c>
      <c r="I101" s="123">
        <f t="shared" ref="I101:K103" si="7">EXP(LN(I102)+(LN(I102)-LN(I103))*($H102-$H101)/($H103-$H102))</f>
        <v>1918.2037184932158</v>
      </c>
      <c r="J101" s="123">
        <f t="shared" si="7"/>
        <v>1991.8364937860517</v>
      </c>
      <c r="K101" s="123">
        <f t="shared" si="7"/>
        <v>3396.7103746829321</v>
      </c>
      <c r="L101" s="124">
        <f t="shared" ref="L101:AF103" si="8">L102</f>
        <v>0</v>
      </c>
      <c r="M101" s="124">
        <f t="shared" si="8"/>
        <v>-2.6656511805026657E-2</v>
      </c>
      <c r="N101" s="124">
        <f t="shared" si="8"/>
        <v>-7.6161462300076158E-2</v>
      </c>
      <c r="O101" s="125">
        <f t="shared" si="8"/>
        <v>-3.8080731150038086E-2</v>
      </c>
      <c r="P101" s="125">
        <f t="shared" si="8"/>
        <v>-1.5232292460015232E-2</v>
      </c>
      <c r="Q101" s="125">
        <f t="shared" si="8"/>
        <v>0</v>
      </c>
      <c r="R101" s="125">
        <f t="shared" si="8"/>
        <v>5.7121096725057125E-3</v>
      </c>
      <c r="S101" s="125">
        <f t="shared" si="8"/>
        <v>0</v>
      </c>
      <c r="T101" s="125">
        <f t="shared" si="8"/>
        <v>0</v>
      </c>
      <c r="U101" s="125">
        <f t="shared" si="8"/>
        <v>0</v>
      </c>
      <c r="V101" s="125">
        <f t="shared" si="8"/>
        <v>0</v>
      </c>
      <c r="W101" s="124">
        <f t="shared" si="8"/>
        <v>0.94399999999999995</v>
      </c>
      <c r="X101" s="126">
        <f t="shared" si="8"/>
        <v>0.82499999999999996</v>
      </c>
      <c r="Y101" s="126">
        <f t="shared" si="8"/>
        <v>0.82499999999999996</v>
      </c>
      <c r="Z101" s="126">
        <f t="shared" si="8"/>
        <v>0.57499999999999996</v>
      </c>
      <c r="AA101" s="126">
        <f t="shared" si="8"/>
        <v>0.60499999999999998</v>
      </c>
      <c r="AB101" s="126">
        <f t="shared" si="8"/>
        <v>0.9</v>
      </c>
      <c r="AC101" s="347">
        <f t="shared" si="8"/>
        <v>0.91725571045708054</v>
      </c>
      <c r="AD101" s="348">
        <f t="shared" si="8"/>
        <v>3.5402936335428681E-2</v>
      </c>
      <c r="AE101" s="348">
        <f t="shared" si="8"/>
        <v>8.4471771197698553E-2</v>
      </c>
      <c r="AF101" s="348">
        <f t="shared" si="8"/>
        <v>0.12349360879438454</v>
      </c>
      <c r="AG101" s="87"/>
      <c r="AH101" s="84"/>
      <c r="AI101" s="66"/>
      <c r="AJ101" s="54"/>
      <c r="AK101" s="349"/>
      <c r="AL101" s="54"/>
      <c r="AM101" t="s">
        <v>269</v>
      </c>
      <c r="AR101" s="132"/>
      <c r="AS101" s="132"/>
      <c r="AT101" s="132"/>
    </row>
    <row r="102" spans="1:46" hidden="1" outlineLevel="3" x14ac:dyDescent="0.25">
      <c r="A102" s="54"/>
      <c r="B102" s="63"/>
      <c r="C102" s="99">
        <f t="shared" si="3"/>
        <v>4</v>
      </c>
      <c r="D102" s="84"/>
      <c r="E102" s="79"/>
      <c r="F102" s="79">
        <f t="shared" si="6"/>
        <v>-124.0466050008763</v>
      </c>
      <c r="G102" s="84"/>
      <c r="H102" s="91">
        <v>16</v>
      </c>
      <c r="I102" s="127">
        <f t="shared" si="7"/>
        <v>1371.7717914587124</v>
      </c>
      <c r="J102" s="127">
        <f t="shared" si="7"/>
        <v>1551.1732606300145</v>
      </c>
      <c r="K102" s="127">
        <f t="shared" si="7"/>
        <v>2367.3977524334259</v>
      </c>
      <c r="L102" s="350">
        <f t="shared" si="8"/>
        <v>0</v>
      </c>
      <c r="M102" s="350">
        <f t="shared" si="8"/>
        <v>-2.6656511805026657E-2</v>
      </c>
      <c r="N102" s="350">
        <f t="shared" si="8"/>
        <v>-7.6161462300076158E-2</v>
      </c>
      <c r="O102" s="351">
        <f t="shared" si="8"/>
        <v>-3.8080731150038086E-2</v>
      </c>
      <c r="P102" s="351">
        <f t="shared" si="8"/>
        <v>-1.5232292460015232E-2</v>
      </c>
      <c r="Q102" s="351">
        <f t="shared" si="8"/>
        <v>0</v>
      </c>
      <c r="R102" s="351">
        <f t="shared" si="8"/>
        <v>5.7121096725057125E-3</v>
      </c>
      <c r="S102" s="351">
        <f t="shared" si="8"/>
        <v>0</v>
      </c>
      <c r="T102" s="351">
        <f t="shared" si="8"/>
        <v>0</v>
      </c>
      <c r="U102" s="351">
        <f t="shared" si="8"/>
        <v>0</v>
      </c>
      <c r="V102" s="351">
        <f t="shared" si="8"/>
        <v>0</v>
      </c>
      <c r="W102" s="350">
        <f t="shared" si="8"/>
        <v>0.94399999999999995</v>
      </c>
      <c r="X102" s="310">
        <f t="shared" si="8"/>
        <v>0.82499999999999996</v>
      </c>
      <c r="Y102" s="310">
        <f t="shared" si="8"/>
        <v>0.82499999999999996</v>
      </c>
      <c r="Z102" s="310">
        <f t="shared" si="8"/>
        <v>0.57499999999999996</v>
      </c>
      <c r="AA102" s="310">
        <f t="shared" si="8"/>
        <v>0.60499999999999998</v>
      </c>
      <c r="AB102" s="310">
        <f t="shared" si="8"/>
        <v>0.9</v>
      </c>
      <c r="AC102" s="352">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8">
        <f t="shared" ref="AD102:AF107" si="10">(1+AM102)^IFERROR((1/(i_woolp_fd_std-$H102)),1)-1</f>
        <v>3.5402936335428681E-2</v>
      </c>
      <c r="AE102" s="129">
        <f t="shared" si="10"/>
        <v>8.4471771197698553E-2</v>
      </c>
      <c r="AF102" s="128">
        <f t="shared" si="10"/>
        <v>0.12349360879438454</v>
      </c>
      <c r="AG102" s="130"/>
      <c r="AH102" s="84"/>
      <c r="AI102" s="66"/>
      <c r="AJ102" s="54"/>
      <c r="AK102" s="349"/>
      <c r="AL102" s="54"/>
      <c r="AM102" s="131">
        <v>0.19</v>
      </c>
      <c r="AN102" s="131">
        <v>0.5</v>
      </c>
      <c r="AO102" s="131">
        <v>0.79</v>
      </c>
      <c r="AR102" s="132">
        <f t="shared" ref="AR102:AT106" si="11">((1+AM102)/(1+AM103))^(1/($H103-$H102))-1</f>
        <v>5.3097345132743445E-2</v>
      </c>
      <c r="AS102" s="132">
        <f t="shared" si="11"/>
        <v>0.13636363636363624</v>
      </c>
      <c r="AT102" s="132">
        <f t="shared" si="11"/>
        <v>0.13291139240506333</v>
      </c>
    </row>
    <row r="103" spans="1:46" hidden="1" outlineLevel="3" x14ac:dyDescent="0.25">
      <c r="A103" s="54"/>
      <c r="B103" s="63"/>
      <c r="C103" s="99">
        <f t="shared" si="3"/>
        <v>4</v>
      </c>
      <c r="D103" s="84"/>
      <c r="E103" s="79"/>
      <c r="F103" s="79">
        <f t="shared" si="6"/>
        <v>-114.12665562913821</v>
      </c>
      <c r="G103" s="84"/>
      <c r="H103" s="91">
        <v>17</v>
      </c>
      <c r="I103" s="127">
        <f t="shared" si="7"/>
        <v>1226.716615698266</v>
      </c>
      <c r="J103" s="127">
        <f t="shared" si="7"/>
        <v>1427.1266556291382</v>
      </c>
      <c r="K103" s="127">
        <f t="shared" si="7"/>
        <v>2098.9824242424247</v>
      </c>
      <c r="L103" s="350">
        <f t="shared" si="8"/>
        <v>0</v>
      </c>
      <c r="M103" s="350">
        <f t="shared" si="8"/>
        <v>-2.6656511805026657E-2</v>
      </c>
      <c r="N103" s="350">
        <f t="shared" si="8"/>
        <v>-7.6161462300076158E-2</v>
      </c>
      <c r="O103" s="351">
        <f t="shared" si="8"/>
        <v>-3.8080731150038086E-2</v>
      </c>
      <c r="P103" s="351">
        <f t="shared" si="8"/>
        <v>-1.5232292460015232E-2</v>
      </c>
      <c r="Q103" s="351">
        <f t="shared" si="8"/>
        <v>0</v>
      </c>
      <c r="R103" s="351">
        <f t="shared" si="8"/>
        <v>5.7121096725057125E-3</v>
      </c>
      <c r="S103" s="351">
        <f t="shared" si="8"/>
        <v>0</v>
      </c>
      <c r="T103" s="351">
        <f t="shared" si="8"/>
        <v>0</v>
      </c>
      <c r="U103" s="351">
        <f t="shared" si="8"/>
        <v>0</v>
      </c>
      <c r="V103" s="351">
        <f t="shared" si="8"/>
        <v>0</v>
      </c>
      <c r="W103" s="350">
        <f t="shared" si="8"/>
        <v>0.94399999999999995</v>
      </c>
      <c r="X103" s="310">
        <f t="shared" si="8"/>
        <v>0.82499999999999996</v>
      </c>
      <c r="Y103" s="310">
        <f t="shared" si="8"/>
        <v>0.82499999999999996</v>
      </c>
      <c r="Z103" s="310">
        <f t="shared" si="8"/>
        <v>0.57499999999999996</v>
      </c>
      <c r="AA103" s="310">
        <f t="shared" si="8"/>
        <v>0.60499999999999998</v>
      </c>
      <c r="AB103" s="310">
        <f t="shared" si="8"/>
        <v>0.9</v>
      </c>
      <c r="AC103" s="352">
        <f t="shared" si="9"/>
        <v>0.9175240298412437</v>
      </c>
      <c r="AD103" s="128">
        <f t="shared" si="10"/>
        <v>3.1025984771220427E-2</v>
      </c>
      <c r="AE103" s="129">
        <f t="shared" si="10"/>
        <v>7.1873373728261747E-2</v>
      </c>
      <c r="AF103" s="128">
        <f t="shared" si="10"/>
        <v>0.12115142108354537</v>
      </c>
      <c r="AG103" s="130"/>
      <c r="AH103" s="84"/>
      <c r="AI103" s="66"/>
      <c r="AJ103" s="54"/>
      <c r="AK103" s="349"/>
      <c r="AL103" s="54"/>
      <c r="AM103" s="131">
        <v>0.13</v>
      </c>
      <c r="AN103" s="131">
        <v>0.32</v>
      </c>
      <c r="AO103" s="131">
        <v>0.57999999999999996</v>
      </c>
      <c r="AR103" s="132">
        <f t="shared" si="11"/>
        <v>4.6296296296296058E-2</v>
      </c>
      <c r="AS103" s="132">
        <f t="shared" si="11"/>
        <v>0.10000000000000009</v>
      </c>
      <c r="AT103" s="132">
        <f t="shared" si="11"/>
        <v>0.14492753623188426</v>
      </c>
    </row>
    <row r="104" spans="1:46" hidden="1" outlineLevel="3" x14ac:dyDescent="0.25">
      <c r="A104" s="54"/>
      <c r="B104" s="63"/>
      <c r="C104" s="99">
        <f t="shared" si="3"/>
        <v>4</v>
      </c>
      <c r="D104" s="84"/>
      <c r="E104" s="79"/>
      <c r="F104" s="79">
        <f t="shared" si="6"/>
        <v>-105</v>
      </c>
      <c r="G104" s="84"/>
      <c r="H104" s="91">
        <v>18</v>
      </c>
      <c r="I104" s="133">
        <v>1097</v>
      </c>
      <c r="J104" s="133">
        <v>1313</v>
      </c>
      <c r="K104" s="133">
        <v>1861</v>
      </c>
      <c r="L104" s="134">
        <v>0</v>
      </c>
      <c r="M104" s="134">
        <f>-35/$J104</f>
        <v>-2.6656511805026657E-2</v>
      </c>
      <c r="N104" s="134">
        <f>-100/$J104</f>
        <v>-7.6161462300076158E-2</v>
      </c>
      <c r="O104" s="135">
        <f>P104+1.5*(O$100-P$100)/$J104</f>
        <v>-3.8080731150038086E-2</v>
      </c>
      <c r="P104" s="135">
        <f>Q104+1*(P$100-Q$100)/$J104</f>
        <v>-1.5232292460015232E-2</v>
      </c>
      <c r="Q104" s="135">
        <v>0</v>
      </c>
      <c r="R104" s="135">
        <f>Q104+0.5*(R$100-Q$100)/$J104</f>
        <v>5.7121096725057125E-3</v>
      </c>
      <c r="S104" s="135">
        <v>0</v>
      </c>
      <c r="T104" s="135">
        <v>0</v>
      </c>
      <c r="U104" s="135">
        <v>0</v>
      </c>
      <c r="V104" s="135">
        <v>0</v>
      </c>
      <c r="W104" s="134">
        <v>0.94399999999999995</v>
      </c>
      <c r="X104" s="136">
        <v>0.82499999999999996</v>
      </c>
      <c r="Y104" s="136">
        <v>0.82499999999999996</v>
      </c>
      <c r="Z104" s="136">
        <v>0.57499999999999996</v>
      </c>
      <c r="AA104" s="136">
        <v>0.60499999999999998</v>
      </c>
      <c r="AB104" s="136">
        <v>0.9</v>
      </c>
      <c r="AC104" s="352">
        <f t="shared" si="9"/>
        <v>0.91668415586448793</v>
      </c>
      <c r="AD104" s="128">
        <f t="shared" si="10"/>
        <v>2.5985568006018145E-2</v>
      </c>
      <c r="AE104" s="129">
        <f t="shared" si="10"/>
        <v>6.2658569182611146E-2</v>
      </c>
      <c r="AF104" s="128">
        <f t="shared" si="10"/>
        <v>0.11333628152095176</v>
      </c>
      <c r="AG104" s="130"/>
      <c r="AH104" s="84"/>
      <c r="AI104" s="66"/>
      <c r="AJ104" s="54"/>
      <c r="AK104" s="349"/>
      <c r="AL104" s="54"/>
      <c r="AM104" s="131">
        <v>0.08</v>
      </c>
      <c r="AN104" s="131">
        <v>0.2</v>
      </c>
      <c r="AO104" s="131">
        <v>0.38</v>
      </c>
      <c r="AR104" s="132">
        <f t="shared" si="11"/>
        <v>3.8461538461538547E-2</v>
      </c>
      <c r="AS104" s="132">
        <f t="shared" si="11"/>
        <v>8.1081081081080919E-2</v>
      </c>
      <c r="AT104" s="132">
        <f t="shared" si="11"/>
        <v>0.13114754098360648</v>
      </c>
    </row>
    <row r="105" spans="1:46" hidden="1" outlineLevel="3" x14ac:dyDescent="0.25">
      <c r="A105" s="54"/>
      <c r="B105" s="63"/>
      <c r="C105" s="99">
        <f t="shared" si="3"/>
        <v>4</v>
      </c>
      <c r="D105" s="84"/>
      <c r="E105" s="79"/>
      <c r="F105" s="79">
        <f t="shared" si="6"/>
        <v>-65</v>
      </c>
      <c r="G105" s="84"/>
      <c r="H105" s="91">
        <v>19</v>
      </c>
      <c r="I105" s="133">
        <v>981</v>
      </c>
      <c r="J105" s="133">
        <v>1208</v>
      </c>
      <c r="K105" s="133">
        <v>1650</v>
      </c>
      <c r="L105" s="353">
        <f t="shared" ref="L105:AB111" si="12">L104</f>
        <v>0</v>
      </c>
      <c r="M105" s="353">
        <f t="shared" si="12"/>
        <v>-2.6656511805026657E-2</v>
      </c>
      <c r="N105" s="353">
        <f t="shared" si="12"/>
        <v>-7.6161462300076158E-2</v>
      </c>
      <c r="O105" s="354">
        <f t="shared" si="12"/>
        <v>-3.8080731150038086E-2</v>
      </c>
      <c r="P105" s="354">
        <f t="shared" si="12"/>
        <v>-1.5232292460015232E-2</v>
      </c>
      <c r="Q105" s="354">
        <f t="shared" si="12"/>
        <v>0</v>
      </c>
      <c r="R105" s="354">
        <f t="shared" si="12"/>
        <v>5.7121096725057125E-3</v>
      </c>
      <c r="S105" s="354">
        <f t="shared" si="12"/>
        <v>0</v>
      </c>
      <c r="T105" s="354">
        <f t="shared" si="12"/>
        <v>0</v>
      </c>
      <c r="U105" s="354">
        <f t="shared" si="12"/>
        <v>0</v>
      </c>
      <c r="V105" s="354">
        <f t="shared" si="12"/>
        <v>0</v>
      </c>
      <c r="W105" s="353">
        <f t="shared" si="12"/>
        <v>0.94399999999999995</v>
      </c>
      <c r="X105" s="355">
        <f t="shared" si="12"/>
        <v>0.82499999999999996</v>
      </c>
      <c r="Y105" s="355">
        <f t="shared" si="12"/>
        <v>0.82499999999999996</v>
      </c>
      <c r="Z105" s="355">
        <f t="shared" si="12"/>
        <v>0.57499999999999996</v>
      </c>
      <c r="AA105" s="355">
        <f t="shared" si="12"/>
        <v>0.60499999999999998</v>
      </c>
      <c r="AB105" s="355">
        <f t="shared" si="12"/>
        <v>0.9</v>
      </c>
      <c r="AC105" s="352">
        <f t="shared" si="9"/>
        <v>0.91612354610847324</v>
      </c>
      <c r="AD105" s="128">
        <f t="shared" si="10"/>
        <v>1.9803902718557032E-2</v>
      </c>
      <c r="AE105" s="129">
        <f t="shared" si="10"/>
        <v>5.3565375285273831E-2</v>
      </c>
      <c r="AF105" s="128">
        <f t="shared" si="10"/>
        <v>0.10453610171872607</v>
      </c>
      <c r="AG105" s="130"/>
      <c r="AH105" s="84"/>
      <c r="AI105" s="66"/>
      <c r="AJ105" s="54"/>
      <c r="AK105" s="349"/>
      <c r="AL105" s="54"/>
      <c r="AM105" s="131">
        <v>0.04</v>
      </c>
      <c r="AN105" s="131">
        <v>0.11</v>
      </c>
      <c r="AO105" s="131">
        <v>0.22</v>
      </c>
      <c r="AR105" s="132">
        <f t="shared" si="11"/>
        <v>2.9702970297029729E-2</v>
      </c>
      <c r="AS105" s="132">
        <f t="shared" si="11"/>
        <v>8.8235294117647189E-2</v>
      </c>
      <c r="AT105" s="132">
        <f t="shared" si="11"/>
        <v>0.16190476190476177</v>
      </c>
    </row>
    <row r="106" spans="1:46" hidden="1" outlineLevel="3" x14ac:dyDescent="0.25">
      <c r="A106" s="54"/>
      <c r="B106" s="63"/>
      <c r="C106" s="99">
        <f t="shared" si="3"/>
        <v>4</v>
      </c>
      <c r="D106" s="84"/>
      <c r="E106" s="79"/>
      <c r="F106" s="79">
        <f t="shared" si="6"/>
        <v>-11</v>
      </c>
      <c r="G106" s="84"/>
      <c r="H106" s="91">
        <v>20</v>
      </c>
      <c r="I106" s="133">
        <v>865</v>
      </c>
      <c r="J106" s="133">
        <v>1143</v>
      </c>
      <c r="K106" s="133">
        <v>1485</v>
      </c>
      <c r="L106" s="353">
        <f t="shared" si="12"/>
        <v>0</v>
      </c>
      <c r="M106" s="353">
        <f t="shared" si="12"/>
        <v>-2.6656511805026657E-2</v>
      </c>
      <c r="N106" s="353">
        <f t="shared" si="12"/>
        <v>-7.6161462300076158E-2</v>
      </c>
      <c r="O106" s="354">
        <f t="shared" si="12"/>
        <v>-3.8080731150038086E-2</v>
      </c>
      <c r="P106" s="354">
        <f t="shared" si="12"/>
        <v>-1.5232292460015232E-2</v>
      </c>
      <c r="Q106" s="354">
        <f t="shared" si="12"/>
        <v>0</v>
      </c>
      <c r="R106" s="354">
        <f t="shared" si="12"/>
        <v>5.7121096725057125E-3</v>
      </c>
      <c r="S106" s="354">
        <f t="shared" si="12"/>
        <v>0</v>
      </c>
      <c r="T106" s="354">
        <f t="shared" si="12"/>
        <v>0</v>
      </c>
      <c r="U106" s="354">
        <f t="shared" si="12"/>
        <v>0</v>
      </c>
      <c r="V106" s="354">
        <f t="shared" si="12"/>
        <v>0</v>
      </c>
      <c r="W106" s="353">
        <f t="shared" si="12"/>
        <v>0.94399999999999995</v>
      </c>
      <c r="X106" s="355">
        <f t="shared" si="12"/>
        <v>0.82499999999999996</v>
      </c>
      <c r="Y106" s="355">
        <f t="shared" si="12"/>
        <v>0.82499999999999996</v>
      </c>
      <c r="Z106" s="355">
        <f t="shared" si="12"/>
        <v>0.57499999999999996</v>
      </c>
      <c r="AA106" s="355">
        <f t="shared" si="12"/>
        <v>0.60499999999999998</v>
      </c>
      <c r="AB106" s="355">
        <f t="shared" si="12"/>
        <v>0.9</v>
      </c>
      <c r="AC106" s="352">
        <f t="shared" si="9"/>
        <v>0.91613488570015422</v>
      </c>
      <c r="AD106" s="128">
        <f t="shared" si="10"/>
        <v>1.0000000000000009E-2</v>
      </c>
      <c r="AE106" s="129">
        <f t="shared" si="10"/>
        <v>2.0000000000000018E-2</v>
      </c>
      <c r="AF106" s="128">
        <f t="shared" si="10"/>
        <v>5.0000000000000044E-2</v>
      </c>
      <c r="AG106" s="130"/>
      <c r="AH106" s="84"/>
      <c r="AI106" s="66"/>
      <c r="AJ106" s="54"/>
      <c r="AK106" s="349"/>
      <c r="AL106" s="54"/>
      <c r="AM106" s="131">
        <v>0.01</v>
      </c>
      <c r="AN106" s="131">
        <v>0.02</v>
      </c>
      <c r="AO106" s="131">
        <v>0.05</v>
      </c>
      <c r="AR106" s="132">
        <f t="shared" si="11"/>
        <v>1.0000000000000009E-2</v>
      </c>
      <c r="AS106" s="132">
        <f>((1+AN106)/(1+AN107))^(1/($H107-$H106))-1</f>
        <v>2.0000000000000018E-2</v>
      </c>
      <c r="AT106" s="132">
        <f t="shared" si="11"/>
        <v>5.0000000000000044E-2</v>
      </c>
    </row>
    <row r="107" spans="1:46" hidden="1" outlineLevel="3" x14ac:dyDescent="0.25">
      <c r="A107" s="54"/>
      <c r="B107" s="63"/>
      <c r="C107" s="99">
        <f t="shared" si="3"/>
        <v>4</v>
      </c>
      <c r="D107" s="84"/>
      <c r="E107" s="79"/>
      <c r="F107" s="79">
        <f t="shared" si="6"/>
        <v>-83</v>
      </c>
      <c r="G107" s="84"/>
      <c r="H107" s="91">
        <v>21</v>
      </c>
      <c r="I107" s="109">
        <v>818</v>
      </c>
      <c r="J107" s="109">
        <v>1132</v>
      </c>
      <c r="K107" s="109">
        <v>1440</v>
      </c>
      <c r="L107" s="353">
        <f t="shared" si="12"/>
        <v>0</v>
      </c>
      <c r="M107" s="353">
        <f t="shared" si="12"/>
        <v>-2.6656511805026657E-2</v>
      </c>
      <c r="N107" s="353">
        <f t="shared" si="12"/>
        <v>-7.6161462300076158E-2</v>
      </c>
      <c r="O107" s="354">
        <f t="shared" si="12"/>
        <v>-3.8080731150038086E-2</v>
      </c>
      <c r="P107" s="354">
        <f t="shared" si="12"/>
        <v>-1.5232292460015232E-2</v>
      </c>
      <c r="Q107" s="354">
        <f t="shared" si="12"/>
        <v>0</v>
      </c>
      <c r="R107" s="354">
        <f t="shared" si="12"/>
        <v>5.7121096725057125E-3</v>
      </c>
      <c r="S107" s="354">
        <f t="shared" si="12"/>
        <v>0</v>
      </c>
      <c r="T107" s="354">
        <f t="shared" si="12"/>
        <v>0</v>
      </c>
      <c r="U107" s="354">
        <f t="shared" si="12"/>
        <v>0</v>
      </c>
      <c r="V107" s="354">
        <f t="shared" si="12"/>
        <v>0</v>
      </c>
      <c r="W107" s="353">
        <f t="shared" si="12"/>
        <v>0.94399999999999995</v>
      </c>
      <c r="X107" s="355">
        <f t="shared" si="12"/>
        <v>0.82499999999999996</v>
      </c>
      <c r="Y107" s="355">
        <f t="shared" si="12"/>
        <v>0.82499999999999996</v>
      </c>
      <c r="Z107" s="355">
        <f t="shared" si="12"/>
        <v>0.57499999999999996</v>
      </c>
      <c r="AA107" s="355">
        <f t="shared" si="12"/>
        <v>0.60499999999999998</v>
      </c>
      <c r="AB107" s="355">
        <f t="shared" si="12"/>
        <v>0.9</v>
      </c>
      <c r="AC107" s="356">
        <f t="shared" si="9"/>
        <v>0.91383899999999996</v>
      </c>
      <c r="AD107" s="128">
        <f t="shared" ref="AD107" si="13">(1+AM107)^IFERROR((1/(i_woolp_fd_std-$H107)),1)-1</f>
        <v>0</v>
      </c>
      <c r="AE107" s="128">
        <f t="shared" ref="AE107" si="14">(1+AN107)^IFERROR((1/(i_woolp_fd_std-$H107)),1)-1</f>
        <v>0</v>
      </c>
      <c r="AF107" s="128">
        <f t="shared" si="10"/>
        <v>0</v>
      </c>
      <c r="AG107" s="87"/>
      <c r="AH107" s="84"/>
      <c r="AI107" s="66"/>
      <c r="AJ107" s="54"/>
      <c r="AK107" s="349"/>
      <c r="AL107" s="54"/>
      <c r="AM107" s="131"/>
      <c r="AN107" s="131"/>
      <c r="AO107" s="131"/>
      <c r="AR107" s="132"/>
      <c r="AS107" s="132"/>
      <c r="AT107" s="132"/>
    </row>
    <row r="108" spans="1:46" hidden="1" outlineLevel="3" x14ac:dyDescent="0.25">
      <c r="A108" s="54"/>
      <c r="B108" s="63"/>
      <c r="C108" s="99">
        <f t="shared" si="3"/>
        <v>4</v>
      </c>
      <c r="D108" s="84"/>
      <c r="E108" s="79"/>
      <c r="F108" s="79">
        <f t="shared" si="6"/>
        <v>-75.714973511816197</v>
      </c>
      <c r="G108" s="84"/>
      <c r="H108" s="91">
        <v>22</v>
      </c>
      <c r="I108" s="137">
        <f>762+(I107-816)</f>
        <v>764</v>
      </c>
      <c r="J108" s="137">
        <f>1044+(J107-1127)</f>
        <v>1049</v>
      </c>
      <c r="K108" s="137">
        <f>1319+(K107-1427)</f>
        <v>1332</v>
      </c>
      <c r="L108" s="353">
        <f t="shared" si="12"/>
        <v>0</v>
      </c>
      <c r="M108" s="353">
        <f t="shared" si="12"/>
        <v>-2.6656511805026657E-2</v>
      </c>
      <c r="N108" s="353">
        <f t="shared" si="12"/>
        <v>-7.6161462300076158E-2</v>
      </c>
      <c r="O108" s="354">
        <f t="shared" si="12"/>
        <v>-3.8080731150038086E-2</v>
      </c>
      <c r="P108" s="354">
        <f t="shared" si="12"/>
        <v>-1.5232292460015232E-2</v>
      </c>
      <c r="Q108" s="354">
        <f t="shared" si="12"/>
        <v>0</v>
      </c>
      <c r="R108" s="354">
        <f t="shared" si="12"/>
        <v>5.7121096725057125E-3</v>
      </c>
      <c r="S108" s="354">
        <f t="shared" si="12"/>
        <v>0</v>
      </c>
      <c r="T108" s="354">
        <f t="shared" si="12"/>
        <v>0</v>
      </c>
      <c r="U108" s="354">
        <f t="shared" si="12"/>
        <v>0</v>
      </c>
      <c r="V108" s="354">
        <f t="shared" si="12"/>
        <v>0</v>
      </c>
      <c r="W108" s="353">
        <f t="shared" si="12"/>
        <v>0.94399999999999995</v>
      </c>
      <c r="X108" s="355">
        <f t="shared" si="12"/>
        <v>0.82499999999999996</v>
      </c>
      <c r="Y108" s="355">
        <f t="shared" si="12"/>
        <v>0.82499999999999996</v>
      </c>
      <c r="Z108" s="355">
        <f t="shared" si="12"/>
        <v>0.57499999999999996</v>
      </c>
      <c r="AA108" s="355">
        <f t="shared" si="12"/>
        <v>0.60499999999999998</v>
      </c>
      <c r="AB108" s="355">
        <f t="shared" si="12"/>
        <v>0.9</v>
      </c>
      <c r="AC108" s="356">
        <f t="shared" si="9"/>
        <v>0.91170623985785748</v>
      </c>
      <c r="AD108" s="128">
        <f t="shared" ref="AD108:AF113" si="15">(1+AM108)^IFERROR((1/(i_woolp_fd_std-$H108)),1)-1</f>
        <v>1.0101010101010166E-2</v>
      </c>
      <c r="AE108" s="128">
        <f t="shared" si="15"/>
        <v>2.0408163265306145E-2</v>
      </c>
      <c r="AF108" s="128">
        <f t="shared" si="15"/>
        <v>4.1666666666666741E-2</v>
      </c>
      <c r="AG108" s="130"/>
      <c r="AH108" s="84"/>
      <c r="AI108" s="66"/>
      <c r="AJ108" s="54"/>
      <c r="AK108" s="349"/>
      <c r="AL108" s="54"/>
      <c r="AM108" s="131">
        <v>-0.01</v>
      </c>
      <c r="AN108" s="131">
        <v>-0.02</v>
      </c>
      <c r="AO108" s="131">
        <v>-0.04</v>
      </c>
      <c r="AR108" s="132">
        <f t="shared" ref="AR108:AT113" si="16">1-((1+AM108)/(1+AM107))^(1/($H107-$H108))</f>
        <v>-1.0101010101010166E-2</v>
      </c>
      <c r="AS108" s="132">
        <f t="shared" si="16"/>
        <v>-2.0408163265306145E-2</v>
      </c>
      <c r="AT108" s="132">
        <f t="shared" si="16"/>
        <v>-4.1666666666666741E-2</v>
      </c>
    </row>
    <row r="109" spans="1:46" hidden="1" outlineLevel="3" x14ac:dyDescent="0.25">
      <c r="A109" s="54"/>
      <c r="B109" s="63"/>
      <c r="C109" s="99">
        <f t="shared" si="3"/>
        <v>4</v>
      </c>
      <c r="D109" s="84"/>
      <c r="E109" s="79"/>
      <c r="F109" s="79">
        <f t="shared" si="6"/>
        <v>-64.785026488183803</v>
      </c>
      <c r="G109" s="84"/>
      <c r="H109" s="91">
        <v>24</v>
      </c>
      <c r="I109" s="127">
        <f>EXP(AVERAGE(LN(I108),LN(I110)))</f>
        <v>669.67753434022279</v>
      </c>
      <c r="J109" s="127">
        <f>EXP(AVERAGE(LN(J108),LN(J110)))</f>
        <v>897.57005297636761</v>
      </c>
      <c r="K109" s="127">
        <f>EXP(AVERAGE(LN(K108),LN(K110)))</f>
        <v>1175.8469288134411</v>
      </c>
      <c r="L109" s="353">
        <f t="shared" si="12"/>
        <v>0</v>
      </c>
      <c r="M109" s="353">
        <f t="shared" si="12"/>
        <v>-2.6656511805026657E-2</v>
      </c>
      <c r="N109" s="353">
        <f t="shared" si="12"/>
        <v>-7.6161462300076158E-2</v>
      </c>
      <c r="O109" s="354">
        <f t="shared" si="12"/>
        <v>-3.8080731150038086E-2</v>
      </c>
      <c r="P109" s="354">
        <f t="shared" si="12"/>
        <v>-1.5232292460015232E-2</v>
      </c>
      <c r="Q109" s="354">
        <f t="shared" si="12"/>
        <v>0</v>
      </c>
      <c r="R109" s="354">
        <f t="shared" si="12"/>
        <v>5.7121096725057125E-3</v>
      </c>
      <c r="S109" s="354">
        <f t="shared" si="12"/>
        <v>0</v>
      </c>
      <c r="T109" s="354">
        <f t="shared" si="12"/>
        <v>0</v>
      </c>
      <c r="U109" s="354">
        <f t="shared" si="12"/>
        <v>0</v>
      </c>
      <c r="V109" s="354">
        <f t="shared" si="12"/>
        <v>0</v>
      </c>
      <c r="W109" s="353">
        <f t="shared" si="12"/>
        <v>0.94399999999999995</v>
      </c>
      <c r="X109" s="355">
        <f t="shared" si="12"/>
        <v>0.82499999999999996</v>
      </c>
      <c r="Y109" s="355">
        <f t="shared" si="12"/>
        <v>0.82499999999999996</v>
      </c>
      <c r="Z109" s="355">
        <f t="shared" si="12"/>
        <v>0.57499999999999996</v>
      </c>
      <c r="AA109" s="355">
        <f t="shared" si="12"/>
        <v>0.60499999999999998</v>
      </c>
      <c r="AB109" s="355">
        <f t="shared" si="12"/>
        <v>0.9</v>
      </c>
      <c r="AC109" s="356">
        <f t="shared" si="9"/>
        <v>0.91294971584521134</v>
      </c>
      <c r="AD109" s="128">
        <f t="shared" si="15"/>
        <v>2.4485188140280334E-2</v>
      </c>
      <c r="AE109" s="128">
        <f t="shared" si="15"/>
        <v>3.9608921504417527E-2</v>
      </c>
      <c r="AF109" s="128">
        <f t="shared" si="15"/>
        <v>5.983983294832651E-2</v>
      </c>
      <c r="AG109" s="130"/>
      <c r="AH109" s="84"/>
      <c r="AI109" s="66"/>
      <c r="AJ109" s="54"/>
      <c r="AK109" s="349"/>
      <c r="AL109" s="54"/>
      <c r="AM109" s="131">
        <v>-7.0000000000000007E-2</v>
      </c>
      <c r="AN109" s="131">
        <v>-0.11</v>
      </c>
      <c r="AO109" s="131">
        <v>-0.16</v>
      </c>
      <c r="AR109" s="132">
        <f t="shared" si="16"/>
        <v>-3.1753909143191983E-2</v>
      </c>
      <c r="AS109" s="132">
        <f t="shared" si="16"/>
        <v>-4.9344364594205992E-2</v>
      </c>
      <c r="AT109" s="132">
        <f>1-((1+AO109)/(1+AO108))^(1/($H108-$H109))</f>
        <v>-6.9044967649697586E-2</v>
      </c>
    </row>
    <row r="110" spans="1:46" hidden="1" outlineLevel="3" x14ac:dyDescent="0.25">
      <c r="A110" s="54"/>
      <c r="B110" s="63"/>
      <c r="C110" s="99">
        <f t="shared" si="3"/>
        <v>4</v>
      </c>
      <c r="D110" s="84"/>
      <c r="E110" s="79"/>
      <c r="F110" s="79">
        <f t="shared" si="6"/>
        <v>-83.5</v>
      </c>
      <c r="G110" s="84"/>
      <c r="H110" s="91">
        <v>26</v>
      </c>
      <c r="I110" s="133">
        <v>587</v>
      </c>
      <c r="J110" s="133">
        <v>768</v>
      </c>
      <c r="K110" s="133">
        <v>1038</v>
      </c>
      <c r="L110" s="353">
        <f t="shared" si="12"/>
        <v>0</v>
      </c>
      <c r="M110" s="353">
        <f t="shared" si="12"/>
        <v>-2.6656511805026657E-2</v>
      </c>
      <c r="N110" s="353">
        <f t="shared" si="12"/>
        <v>-7.6161462300076158E-2</v>
      </c>
      <c r="O110" s="354">
        <f t="shared" si="12"/>
        <v>-3.8080731150038086E-2</v>
      </c>
      <c r="P110" s="354">
        <f t="shared" si="12"/>
        <v>-1.5232292460015232E-2</v>
      </c>
      <c r="Q110" s="354">
        <f t="shared" si="12"/>
        <v>0</v>
      </c>
      <c r="R110" s="354">
        <f t="shared" si="12"/>
        <v>5.7121096725057125E-3</v>
      </c>
      <c r="S110" s="354">
        <f t="shared" si="12"/>
        <v>0</v>
      </c>
      <c r="T110" s="354">
        <f t="shared" si="12"/>
        <v>0</v>
      </c>
      <c r="U110" s="354">
        <f t="shared" si="12"/>
        <v>0</v>
      </c>
      <c r="V110" s="354">
        <f t="shared" si="12"/>
        <v>0</v>
      </c>
      <c r="W110" s="134">
        <v>0.86099999999999999</v>
      </c>
      <c r="X110" s="136">
        <v>0.61299999999999999</v>
      </c>
      <c r="Y110" s="136">
        <v>0.59399999999999997</v>
      </c>
      <c r="Z110" s="136">
        <v>0.42599999999999999</v>
      </c>
      <c r="AA110" s="136">
        <v>0.41499999999999998</v>
      </c>
      <c r="AB110" s="136">
        <f t="shared" si="12"/>
        <v>0.9</v>
      </c>
      <c r="AC110" s="357">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8">
        <f t="shared" si="15"/>
        <v>5.9223841048812176E-2</v>
      </c>
      <c r="AE110" s="128">
        <f t="shared" si="15"/>
        <v>8.0185187303563499E-2</v>
      </c>
      <c r="AF110" s="128">
        <f t="shared" si="15"/>
        <v>9.6811234199721818E-2</v>
      </c>
      <c r="AG110" s="130"/>
      <c r="AH110" s="84"/>
      <c r="AI110" s="66"/>
      <c r="AJ110" s="54"/>
      <c r="AK110" s="349"/>
      <c r="AL110" s="54"/>
      <c r="AM110" s="131">
        <v>-0.25</v>
      </c>
      <c r="AN110" s="131">
        <v>-0.32</v>
      </c>
      <c r="AO110" s="131">
        <v>-0.37</v>
      </c>
      <c r="AR110" s="132">
        <f t="shared" si="16"/>
        <v>-0.11355287256600421</v>
      </c>
      <c r="AS110" s="132">
        <f t="shared" si="16"/>
        <v>-0.14403825522216041</v>
      </c>
      <c r="AT110" s="132">
        <f t="shared" si="16"/>
        <v>-0.15470053837925168</v>
      </c>
    </row>
    <row r="111" spans="1:46" hidden="1" outlineLevel="3" x14ac:dyDescent="0.25">
      <c r="A111" s="54"/>
      <c r="B111" s="63"/>
      <c r="C111" s="99">
        <f t="shared" si="3"/>
        <v>4</v>
      </c>
      <c r="D111" s="84"/>
      <c r="E111" s="79"/>
      <c r="F111" s="79">
        <f>($J113-$J111)/($H113-$H111)</f>
        <v>-50.166666666666664</v>
      </c>
      <c r="G111" s="84"/>
      <c r="H111" s="91">
        <v>28</v>
      </c>
      <c r="I111" s="133">
        <v>464</v>
      </c>
      <c r="J111" s="133">
        <v>601</v>
      </c>
      <c r="K111" s="133">
        <v>802</v>
      </c>
      <c r="L111" s="353">
        <f t="shared" si="12"/>
        <v>0</v>
      </c>
      <c r="M111" s="353">
        <f t="shared" si="12"/>
        <v>-2.6656511805026657E-2</v>
      </c>
      <c r="N111" s="353">
        <f t="shared" si="12"/>
        <v>-7.6161462300076158E-2</v>
      </c>
      <c r="O111" s="354">
        <f t="shared" si="12"/>
        <v>-3.8080731150038086E-2</v>
      </c>
      <c r="P111" s="354">
        <f t="shared" si="12"/>
        <v>-1.5232292460015232E-2</v>
      </c>
      <c r="Q111" s="354">
        <f t="shared" si="12"/>
        <v>0</v>
      </c>
      <c r="R111" s="354">
        <f t="shared" si="12"/>
        <v>5.7121096725057125E-3</v>
      </c>
      <c r="S111" s="354">
        <f t="shared" si="12"/>
        <v>0</v>
      </c>
      <c r="T111" s="354">
        <f t="shared" si="12"/>
        <v>0</v>
      </c>
      <c r="U111" s="354">
        <f t="shared" si="12"/>
        <v>0</v>
      </c>
      <c r="V111" s="354">
        <f t="shared" si="12"/>
        <v>0</v>
      </c>
      <c r="W111" s="353">
        <f t="shared" si="12"/>
        <v>0.86099999999999999</v>
      </c>
      <c r="X111" s="355">
        <f t="shared" si="12"/>
        <v>0.61299999999999999</v>
      </c>
      <c r="Y111" s="355">
        <f t="shared" si="12"/>
        <v>0.59399999999999997</v>
      </c>
      <c r="Z111" s="355">
        <f t="shared" si="12"/>
        <v>0.42599999999999999</v>
      </c>
      <c r="AA111" s="355">
        <f t="shared" si="12"/>
        <v>0.41499999999999998</v>
      </c>
      <c r="AB111" s="355">
        <f t="shared" si="12"/>
        <v>0.9</v>
      </c>
      <c r="AC111" s="357">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8">
        <f t="shared" si="15"/>
        <v>7.5703739842783557E-2</v>
      </c>
      <c r="AE111" s="128">
        <f t="shared" si="15"/>
        <v>0.10097051704290827</v>
      </c>
      <c r="AF111" s="128">
        <f t="shared" si="15"/>
        <v>0.11054705837327061</v>
      </c>
      <c r="AG111" s="130"/>
      <c r="AH111" s="84"/>
      <c r="AI111" s="66"/>
      <c r="AJ111" s="54"/>
      <c r="AK111" s="349"/>
      <c r="AL111" s="54"/>
      <c r="AM111" s="131">
        <v>-0.4</v>
      </c>
      <c r="AN111" s="131">
        <v>-0.49</v>
      </c>
      <c r="AO111" s="131">
        <v>-0.52</v>
      </c>
      <c r="AR111" s="132">
        <f t="shared" si="16"/>
        <v>-0.1180339887498949</v>
      </c>
      <c r="AS111" s="132">
        <f t="shared" si="16"/>
        <v>-0.15470053837925146</v>
      </c>
      <c r="AT111" s="132">
        <f t="shared" si="16"/>
        <v>-0.14564392373896018</v>
      </c>
    </row>
    <row r="112" spans="1:46" hidden="1" outlineLevel="3" x14ac:dyDescent="0.25">
      <c r="A112" s="54"/>
      <c r="B112" s="63"/>
      <c r="C112" s="99">
        <f t="shared" si="3"/>
        <v>4</v>
      </c>
      <c r="D112" s="84"/>
      <c r="E112" s="79"/>
      <c r="F112" s="79"/>
      <c r="G112" s="84"/>
      <c r="H112" s="91">
        <v>32</v>
      </c>
      <c r="I112" s="133">
        <v>300</v>
      </c>
      <c r="J112" s="133">
        <v>425</v>
      </c>
      <c r="K112" s="133">
        <v>550</v>
      </c>
      <c r="L112" s="353">
        <f t="shared" ref="L112:AB113" si="17">L110</f>
        <v>0</v>
      </c>
      <c r="M112" s="353">
        <f t="shared" si="17"/>
        <v>-2.6656511805026657E-2</v>
      </c>
      <c r="N112" s="353">
        <f t="shared" si="17"/>
        <v>-7.6161462300076158E-2</v>
      </c>
      <c r="O112" s="354">
        <f t="shared" si="17"/>
        <v>-3.8080731150038086E-2</v>
      </c>
      <c r="P112" s="354">
        <f t="shared" si="17"/>
        <v>-1.5232292460015232E-2</v>
      </c>
      <c r="Q112" s="354">
        <f t="shared" si="17"/>
        <v>0</v>
      </c>
      <c r="R112" s="354">
        <f t="shared" si="17"/>
        <v>5.7121096725057125E-3</v>
      </c>
      <c r="S112" s="354">
        <f t="shared" si="17"/>
        <v>0</v>
      </c>
      <c r="T112" s="354">
        <f t="shared" si="17"/>
        <v>0</v>
      </c>
      <c r="U112" s="354">
        <f t="shared" si="17"/>
        <v>0</v>
      </c>
      <c r="V112" s="354">
        <f t="shared" si="17"/>
        <v>0</v>
      </c>
      <c r="W112" s="353">
        <f t="shared" si="17"/>
        <v>0.86099999999999999</v>
      </c>
      <c r="X112" s="355">
        <f t="shared" si="17"/>
        <v>0.61299999999999999</v>
      </c>
      <c r="Y112" s="355">
        <f t="shared" si="17"/>
        <v>0.59399999999999997</v>
      </c>
      <c r="Z112" s="355">
        <f t="shared" si="17"/>
        <v>0.42599999999999999</v>
      </c>
      <c r="AA112" s="355">
        <f t="shared" si="17"/>
        <v>0.41499999999999998</v>
      </c>
      <c r="AB112" s="355">
        <f t="shared" si="17"/>
        <v>0.9</v>
      </c>
      <c r="AC112" s="357">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8">
        <f>(1+AM112)^IFERROR((1/(i_woolp_fd_std-$H112)),1)-1</f>
        <v>6.1250426654331003E-2</v>
      </c>
      <c r="AE112" s="128">
        <f>(1+AN112)^IFERROR((1/(i_woolp_fd_std-$H112)),1)-1</f>
        <v>9.7327179497088467E-2</v>
      </c>
      <c r="AF112" s="128">
        <f>(1+AO112)^IFERROR((1/(i_woolp_fd_std-$H112)),1)-1</f>
        <v>0.11911034223499084</v>
      </c>
      <c r="AG112" s="87"/>
      <c r="AH112" s="84"/>
      <c r="AI112" s="66"/>
      <c r="AJ112" s="54"/>
      <c r="AK112" s="349"/>
      <c r="AL112" s="54"/>
      <c r="AM112" s="131">
        <v>-0.48</v>
      </c>
      <c r="AN112" s="131">
        <v>-0.64</v>
      </c>
      <c r="AO112" s="131">
        <v>-0.71</v>
      </c>
      <c r="AP112" t="s">
        <v>270</v>
      </c>
      <c r="AR112" s="132">
        <f t="shared" si="16"/>
        <v>-3.6422843755939738E-2</v>
      </c>
      <c r="AS112" s="132">
        <f t="shared" si="16"/>
        <v>-9.098032586468241E-2</v>
      </c>
      <c r="AT112" s="132">
        <f t="shared" si="16"/>
        <v>-0.13425528070419568</v>
      </c>
    </row>
    <row r="113" spans="1:46" hidden="1" outlineLevel="3" x14ac:dyDescent="0.25">
      <c r="A113" s="54"/>
      <c r="B113" s="63"/>
      <c r="C113" s="99">
        <f t="shared" si="3"/>
        <v>4</v>
      </c>
      <c r="D113" s="84"/>
      <c r="E113" s="79"/>
      <c r="F113" s="79"/>
      <c r="G113" s="84"/>
      <c r="H113" s="91">
        <v>34</v>
      </c>
      <c r="I113" s="138">
        <v>200</v>
      </c>
      <c r="J113" s="138">
        <v>300</v>
      </c>
      <c r="K113" s="138">
        <v>350</v>
      </c>
      <c r="L113" s="358">
        <f t="shared" si="17"/>
        <v>0</v>
      </c>
      <c r="M113" s="358">
        <f t="shared" si="17"/>
        <v>-2.6656511805026657E-2</v>
      </c>
      <c r="N113" s="358">
        <f t="shared" si="17"/>
        <v>-7.6161462300076158E-2</v>
      </c>
      <c r="O113" s="359">
        <f t="shared" si="17"/>
        <v>-3.8080731150038086E-2</v>
      </c>
      <c r="P113" s="359">
        <f t="shared" si="17"/>
        <v>-1.5232292460015232E-2</v>
      </c>
      <c r="Q113" s="359">
        <f t="shared" si="17"/>
        <v>0</v>
      </c>
      <c r="R113" s="359">
        <f t="shared" si="17"/>
        <v>5.7121096725057125E-3</v>
      </c>
      <c r="S113" s="359">
        <f t="shared" si="17"/>
        <v>0</v>
      </c>
      <c r="T113" s="359">
        <f t="shared" si="17"/>
        <v>0</v>
      </c>
      <c r="U113" s="359">
        <f t="shared" si="17"/>
        <v>0</v>
      </c>
      <c r="V113" s="359">
        <f t="shared" si="17"/>
        <v>0</v>
      </c>
      <c r="W113" s="358">
        <f t="shared" si="17"/>
        <v>0.86099999999999999</v>
      </c>
      <c r="X113" s="360">
        <f t="shared" si="17"/>
        <v>0.61299999999999999</v>
      </c>
      <c r="Y113" s="360">
        <f t="shared" si="17"/>
        <v>0.59399999999999997</v>
      </c>
      <c r="Z113" s="360">
        <f t="shared" si="17"/>
        <v>0.42599999999999999</v>
      </c>
      <c r="AA113" s="360">
        <f t="shared" si="17"/>
        <v>0.41499999999999998</v>
      </c>
      <c r="AB113" s="360">
        <f t="shared" si="17"/>
        <v>0.9</v>
      </c>
      <c r="AC113" s="361">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3">
        <f t="shared" si="15"/>
        <v>6.3349326849504228E-2</v>
      </c>
      <c r="AE113" s="193">
        <f t="shared" si="15"/>
        <v>8.9023845437388838E-2</v>
      </c>
      <c r="AF113" s="193">
        <f t="shared" si="15"/>
        <v>0.14603066068180648</v>
      </c>
      <c r="AG113" s="87"/>
      <c r="AH113" s="84"/>
      <c r="AI113" s="66"/>
      <c r="AJ113" s="54"/>
      <c r="AK113" s="349"/>
      <c r="AL113" s="54"/>
      <c r="AM113" s="131">
        <v>-0.55000000000000004</v>
      </c>
      <c r="AN113" s="131">
        <v>-0.67</v>
      </c>
      <c r="AO113" s="131">
        <v>-0.83</v>
      </c>
      <c r="AP113" t="s">
        <v>271</v>
      </c>
      <c r="AR113" s="132">
        <f t="shared" si="16"/>
        <v>-7.4967699773140106E-2</v>
      </c>
      <c r="AS113" s="132">
        <f t="shared" si="16"/>
        <v>-4.4465935734187001E-2</v>
      </c>
      <c r="AT113" s="132">
        <f t="shared" si="16"/>
        <v>-0.30609431242203033</v>
      </c>
    </row>
    <row r="114" spans="1:46" hidden="1" outlineLevel="3" x14ac:dyDescent="0.25">
      <c r="A114" s="54"/>
      <c r="B114" s="63"/>
      <c r="C114" s="99">
        <f>INT($C$86+3)</f>
        <v>4</v>
      </c>
      <c r="D114" s="84"/>
      <c r="E114" s="79"/>
      <c r="F114" s="79"/>
      <c r="G114" s="84"/>
      <c r="H114" s="87" t="s">
        <v>272</v>
      </c>
      <c r="I114" s="109" t="s">
        <v>273</v>
      </c>
      <c r="J114" s="109"/>
      <c r="K114" s="109"/>
      <c r="L114" s="139" t="s">
        <v>274</v>
      </c>
      <c r="M114" s="139"/>
      <c r="N114" s="139"/>
      <c r="O114" s="139" t="s">
        <v>275</v>
      </c>
      <c r="P114" s="139"/>
      <c r="Q114" s="139"/>
      <c r="R114" s="139"/>
      <c r="S114" s="139"/>
      <c r="T114" s="139"/>
      <c r="U114" s="139"/>
      <c r="V114" s="139"/>
      <c r="W114" s="139" t="s">
        <v>2451</v>
      </c>
      <c r="X114" s="139"/>
      <c r="Y114" s="139"/>
      <c r="Z114" s="139"/>
      <c r="AA114" s="139"/>
      <c r="AB114" s="139"/>
      <c r="AC114" s="117"/>
      <c r="AD114" s="139" t="s">
        <v>276</v>
      </c>
      <c r="AE114" s="139"/>
      <c r="AF114" s="139"/>
      <c r="AG114" s="87"/>
      <c r="AH114" s="84"/>
      <c r="AI114" s="66"/>
      <c r="AJ114" s="54"/>
      <c r="AK114" s="54"/>
      <c r="AL114" s="54"/>
    </row>
    <row r="115" spans="1:46" hidden="1" outlineLevel="3" x14ac:dyDescent="0.25">
      <c r="A115" s="54"/>
      <c r="B115" s="63"/>
      <c r="C115" s="99">
        <f>INT($C$86+3)</f>
        <v>4</v>
      </c>
      <c r="D115" s="84"/>
      <c r="E115" s="79"/>
      <c r="F115" s="79"/>
      <c r="G115" s="84"/>
      <c r="H115" s="87" t="s">
        <v>277</v>
      </c>
      <c r="I115" s="109">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hidden="1" outlineLevel="3" x14ac:dyDescent="0.25">
      <c r="A116" s="54"/>
      <c r="B116" s="63"/>
      <c r="C116" s="99">
        <f>INT($C$86+3)</f>
        <v>4</v>
      </c>
      <c r="D116" s="84"/>
      <c r="E116" s="79"/>
      <c r="F116" s="79"/>
      <c r="G116" s="84"/>
      <c r="H116" s="87" t="s">
        <v>278</v>
      </c>
      <c r="I116" s="87">
        <f>INDEX($I$101:$K$113,MATCH(i_woolp_fd_std,i_woolp_fd_range_w4,0),0)</f>
        <v>818</v>
      </c>
      <c r="J116" s="87">
        <f>INDEX($I$101:$K$113,MATCH(i_woolp_fd_std,i_woolp_fd_range_w4,0),0)</f>
        <v>1132</v>
      </c>
      <c r="K116" s="87">
        <f>INDEX($I$101:$K$113,MATCH(i_woolp_fd_std,i_woolp_fd_range_w4,0),0)</f>
        <v>1440</v>
      </c>
      <c r="L116" s="87"/>
      <c r="M116" s="87" t="s">
        <v>279</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hidden="1" outlineLevel="3" x14ac:dyDescent="0.25">
      <c r="A117" s="54"/>
      <c r="B117" s="63"/>
      <c r="C117" s="99">
        <f>INT($C$86+3)</f>
        <v>4</v>
      </c>
      <c r="D117" s="84"/>
      <c r="E117" s="79"/>
      <c r="F117" s="79"/>
      <c r="G117" s="84"/>
      <c r="H117" s="87" t="s">
        <v>280</v>
      </c>
      <c r="I117" s="109">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hidden="1" outlineLevel="3" x14ac:dyDescent="0.25">
      <c r="A118" s="54"/>
      <c r="B118" s="63"/>
      <c r="C118" s="99">
        <f>INT($C$86+3)</f>
        <v>4</v>
      </c>
      <c r="D118" s="84"/>
      <c r="E118" s="79"/>
      <c r="F118" s="79"/>
      <c r="G118" s="84"/>
      <c r="H118" s="87" t="s">
        <v>281</v>
      </c>
      <c r="I118" s="109">
        <v>50</v>
      </c>
      <c r="J118" s="87" t="s">
        <v>282</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hidden="1" customHeight="1" outlineLevel="2" x14ac:dyDescent="0.25">
      <c r="A119" s="54"/>
      <c r="B119" s="63"/>
      <c r="C119" s="99">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collapsed="1" x14ac:dyDescent="0.25">
      <c r="A120" s="54"/>
      <c r="B120" s="63"/>
      <c r="C120" s="99">
        <f>INT($C$86)+1</f>
        <v>2</v>
      </c>
      <c r="D120" s="84"/>
      <c r="E120" s="79"/>
      <c r="F120" s="79"/>
      <c r="G120" s="84"/>
      <c r="H120" s="102" t="s">
        <v>283</v>
      </c>
      <c r="I120" s="103"/>
      <c r="J120" s="104"/>
      <c r="K120" s="104"/>
      <c r="L120" s="104"/>
      <c r="M120" s="104"/>
      <c r="N120" s="104"/>
      <c r="O120" s="104"/>
      <c r="P120" s="104"/>
      <c r="Q120" s="104"/>
      <c r="R120" s="104"/>
      <c r="S120" s="104"/>
      <c r="T120" s="104"/>
      <c r="U120" s="104"/>
      <c r="V120" s="104"/>
      <c r="W120" s="104"/>
      <c r="X120" s="104"/>
      <c r="Y120" s="104"/>
      <c r="Z120" s="105"/>
      <c r="AA120" s="105"/>
      <c r="AB120" s="105"/>
      <c r="AC120" s="105"/>
      <c r="AD120" s="105"/>
      <c r="AE120" s="105"/>
      <c r="AF120" s="105"/>
      <c r="AG120" s="105"/>
      <c r="AH120" s="84"/>
      <c r="AI120" s="66"/>
      <c r="AJ120" s="54"/>
      <c r="AK120" s="54"/>
      <c r="AL120" s="54"/>
    </row>
    <row r="121" spans="1:46" ht="5.0999999999999996" hidden="1" customHeight="1" outlineLevel="3" x14ac:dyDescent="0.25">
      <c r="A121" s="54"/>
      <c r="B121" s="63"/>
      <c r="C121" s="99">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9">
        <f>INT($C$86)+2</f>
        <v>3</v>
      </c>
      <c r="D122" s="84"/>
      <c r="E122" s="79"/>
      <c r="F122" s="79"/>
      <c r="G122" s="84"/>
      <c r="H122" s="87"/>
      <c r="I122" s="87"/>
      <c r="J122" s="107" t="s">
        <v>284</v>
      </c>
      <c r="K122" s="140"/>
      <c r="L122" s="107"/>
      <c r="M122" s="107"/>
      <c r="N122" s="107"/>
      <c r="O122" s="107"/>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9">
        <f>INT($C$86)+2</f>
        <v>3</v>
      </c>
      <c r="D123" s="84"/>
      <c r="E123" s="79"/>
      <c r="F123" s="79"/>
      <c r="G123" s="84"/>
      <c r="H123" s="87" t="s">
        <v>2452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2453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9">
        <f>INT($C$86+3)</f>
        <v>4</v>
      </c>
      <c r="D124" s="84"/>
      <c r="E124" s="79"/>
      <c r="F124" s="79"/>
      <c r="G124" s="84"/>
      <c r="H124" s="87"/>
      <c r="I124" s="90" t="s">
        <v>2454</v>
      </c>
      <c r="J124" s="128">
        <v>0.68</v>
      </c>
      <c r="K124" s="128">
        <v>0.55000000000000004</v>
      </c>
      <c r="L124" s="128">
        <v>0.5</v>
      </c>
      <c r="M124" s="128">
        <v>0.65</v>
      </c>
      <c r="N124" s="128">
        <v>0.65</v>
      </c>
      <c r="O124" s="144"/>
      <c r="P124" s="144">
        <v>0.4</v>
      </c>
      <c r="Q124" s="109" t="s">
        <v>2455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9">
        <f>INT($C$86+3)</f>
        <v>4</v>
      </c>
      <c r="D125" s="84"/>
      <c r="E125" s="79"/>
      <c r="F125" s="79"/>
      <c r="G125" s="84"/>
      <c r="H125" s="87"/>
      <c r="I125" s="90" t="s">
        <v>2456</v>
      </c>
      <c r="J125" s="362">
        <f>(J124*J126)/SUMPRODUCT($J124:$P124,$J126:$P126)</f>
        <v>0.82951502529009236</v>
      </c>
      <c r="K125" s="362">
        <f t="shared" ref="K125:P125" si="19">(K124*K126)/SUMPRODUCT($J124:$P124,$J126:$P126)</f>
        <v>8.1820886640880719E-2</v>
      </c>
      <c r="L125" s="362">
        <f t="shared" si="19"/>
        <v>2.4546265992264213E-2</v>
      </c>
      <c r="M125" s="362">
        <f t="shared" si="19"/>
        <v>1.2570663493008033E-2</v>
      </c>
      <c r="N125" s="362">
        <f t="shared" si="19"/>
        <v>3.1910145789943473E-2</v>
      </c>
      <c r="O125" s="362">
        <f t="shared" si="19"/>
        <v>0</v>
      </c>
      <c r="P125" s="362">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9">
        <f>INT($C$86+3)</f>
        <v>4</v>
      </c>
      <c r="D126" s="84"/>
      <c r="E126" s="79"/>
      <c r="F126" s="79"/>
      <c r="G126" s="84"/>
      <c r="H126" s="87"/>
      <c r="I126" s="90" t="s">
        <v>2457</v>
      </c>
      <c r="J126" s="144">
        <v>0.82</v>
      </c>
      <c r="K126" s="144">
        <v>0.1</v>
      </c>
      <c r="L126" s="144">
        <v>3.3000000000000002E-2</v>
      </c>
      <c r="M126" s="144">
        <v>1.2999999999999999E-2</v>
      </c>
      <c r="N126" s="144">
        <v>3.3000000000000002E-2</v>
      </c>
      <c r="O126" s="144">
        <v>0</v>
      </c>
      <c r="P126" s="144">
        <v>3.3000000000000002E-2</v>
      </c>
      <c r="Q126" s="109" t="s">
        <v>2458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9">
        <f>INT($C$86+3)</f>
        <v>4</v>
      </c>
      <c r="D127" s="84"/>
      <c r="E127" s="79"/>
      <c r="F127" s="79"/>
      <c r="G127" s="84"/>
      <c r="H127" s="87"/>
      <c r="I127" s="90" t="s">
        <v>2459</v>
      </c>
      <c r="J127" s="363">
        <f>1-SUM(K127:O127)</f>
        <v>0.82099999999999995</v>
      </c>
      <c r="K127" s="364">
        <f>K126/(1-($P$126-$N$126))</f>
        <v>0.1</v>
      </c>
      <c r="L127" s="364">
        <f t="shared" ref="L127:O127" si="20">L126/(1-($P$126-$N$126))</f>
        <v>3.3000000000000002E-2</v>
      </c>
      <c r="M127" s="364">
        <f t="shared" si="20"/>
        <v>1.2999999999999999E-2</v>
      </c>
      <c r="N127" s="364">
        <f t="shared" si="20"/>
        <v>3.3000000000000002E-2</v>
      </c>
      <c r="O127" s="364">
        <f t="shared" si="20"/>
        <v>0</v>
      </c>
      <c r="P127" s="87"/>
      <c r="Q127" s="87" t="s">
        <v>2460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9">
        <f>INT($C$86+3)</f>
        <v>4</v>
      </c>
      <c r="D128" s="84"/>
      <c r="E128" s="79"/>
      <c r="F128" s="79"/>
      <c r="G128" s="84"/>
      <c r="H128" s="87"/>
      <c r="I128" s="141" t="s">
        <v>2461</v>
      </c>
      <c r="J128" s="108">
        <v>0</v>
      </c>
      <c r="K128" s="111">
        <v>-1</v>
      </c>
      <c r="L128" s="111">
        <v>0.7</v>
      </c>
      <c r="M128" s="111">
        <v>0.4</v>
      </c>
      <c r="N128" s="111">
        <v>0.1</v>
      </c>
      <c r="O128" s="111"/>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9">
        <f>INT($C$86)+2</f>
        <v>3</v>
      </c>
      <c r="D129" s="84"/>
      <c r="E129" s="79"/>
      <c r="F129" s="79"/>
      <c r="G129" s="84"/>
      <c r="H129" s="87" t="s">
        <v>2462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9">
        <f>INT($C$86+3)</f>
        <v>4</v>
      </c>
      <c r="D130" s="84"/>
      <c r="E130" s="79"/>
      <c r="F130" s="79"/>
      <c r="G130" s="84"/>
      <c r="H130" s="87"/>
      <c r="I130" s="90" t="s">
        <v>2457</v>
      </c>
      <c r="J130" s="144">
        <v>0.85</v>
      </c>
      <c r="K130" s="144">
        <v>0.08</v>
      </c>
      <c r="L130" s="144">
        <v>0.03</v>
      </c>
      <c r="M130" s="144">
        <v>0.01</v>
      </c>
      <c r="N130" s="144">
        <v>2.8000000000000001E-2</v>
      </c>
      <c r="O130" s="144">
        <v>0</v>
      </c>
      <c r="P130" s="144">
        <v>2.8000000000000001E-2</v>
      </c>
      <c r="Q130" s="109" t="s">
        <v>2463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9">
        <f>INT($C$86+3)</f>
        <v>4</v>
      </c>
      <c r="D131" s="84"/>
      <c r="E131" s="79"/>
      <c r="F131" s="79"/>
      <c r="G131" s="84"/>
      <c r="H131" s="87"/>
      <c r="I131" s="90" t="s">
        <v>2459</v>
      </c>
      <c r="J131" s="363">
        <f>1-SUM(K131:O131)</f>
        <v>0.85199999999999998</v>
      </c>
      <c r="K131" s="364">
        <f>K130/(1-($P$126-$N$126))</f>
        <v>0.08</v>
      </c>
      <c r="L131" s="364">
        <f t="shared" ref="L131:O131" si="22">L130/(1-($P$126-$N$126))</f>
        <v>0.03</v>
      </c>
      <c r="M131" s="364">
        <f t="shared" si="22"/>
        <v>0.01</v>
      </c>
      <c r="N131" s="364">
        <f t="shared" si="22"/>
        <v>2.8000000000000001E-2</v>
      </c>
      <c r="O131" s="364">
        <f t="shared" si="22"/>
        <v>0</v>
      </c>
      <c r="P131" s="87"/>
      <c r="Q131" s="87" t="s">
        <v>2460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9">
        <f>INT($C$86+3)</f>
        <v>4</v>
      </c>
      <c r="D132" s="84"/>
      <c r="E132" s="79"/>
      <c r="F132" s="79"/>
      <c r="G132" s="84"/>
      <c r="H132" s="87"/>
      <c r="I132" s="141" t="s">
        <v>2461</v>
      </c>
      <c r="J132" s="108">
        <v>0</v>
      </c>
      <c r="K132" s="111">
        <v>-2</v>
      </c>
      <c r="L132" s="111">
        <v>-0.6</v>
      </c>
      <c r="M132" s="111">
        <v>-0.5</v>
      </c>
      <c r="N132" s="111">
        <v>0</v>
      </c>
      <c r="O132" s="111"/>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9">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collapsed="1" x14ac:dyDescent="0.25">
      <c r="A134" s="54"/>
      <c r="B134" s="63"/>
      <c r="C134" s="99">
        <f>INT($C$86)+1</f>
        <v>2</v>
      </c>
      <c r="D134" s="84"/>
      <c r="E134" s="79"/>
      <c r="F134" s="79"/>
      <c r="G134" s="84"/>
      <c r="H134" s="102" t="s">
        <v>285</v>
      </c>
      <c r="I134" s="103"/>
      <c r="J134" s="104"/>
      <c r="K134" s="104"/>
      <c r="L134" s="104"/>
      <c r="M134" s="104"/>
      <c r="N134" s="104"/>
      <c r="O134" s="104"/>
      <c r="P134" s="104"/>
      <c r="Q134" s="104"/>
      <c r="R134" s="104"/>
      <c r="S134" s="104"/>
      <c r="T134" s="104"/>
      <c r="U134" s="104"/>
      <c r="V134" s="104"/>
      <c r="W134" s="104"/>
      <c r="X134" s="104"/>
      <c r="Y134" s="104"/>
      <c r="Z134" s="105"/>
      <c r="AA134" s="105"/>
      <c r="AB134" s="105"/>
      <c r="AC134" s="105"/>
      <c r="AD134" s="105"/>
      <c r="AE134" s="105"/>
      <c r="AF134" s="105"/>
      <c r="AG134" s="105"/>
      <c r="AH134" s="84"/>
      <c r="AI134" s="66"/>
      <c r="AJ134" s="54"/>
      <c r="AK134" s="54"/>
      <c r="AL134" s="54"/>
    </row>
    <row r="135" spans="1:38" ht="5.0999999999999996" hidden="1" customHeight="1" outlineLevel="3" x14ac:dyDescent="0.25">
      <c r="A135" s="54"/>
      <c r="B135" s="63"/>
      <c r="C135" s="99">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9">
        <f>INT($C$86)+2</f>
        <v>3</v>
      </c>
      <c r="D136" s="84"/>
      <c r="E136" s="79"/>
      <c r="F136" s="79"/>
      <c r="G136" s="84"/>
      <c r="H136" s="87"/>
      <c r="I136" s="108" t="s">
        <v>286</v>
      </c>
      <c r="J136" s="108" t="s">
        <v>287</v>
      </c>
      <c r="K136" s="108" t="s">
        <v>288</v>
      </c>
      <c r="L136" s="108"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9">
        <f t="shared" ref="C137:C143" si="23">INT($C$86+3)</f>
        <v>4</v>
      </c>
      <c r="D137" s="84"/>
      <c r="E137" s="79"/>
      <c r="F137" s="79"/>
      <c r="G137" s="84"/>
      <c r="H137" s="87" t="s">
        <v>289</v>
      </c>
      <c r="I137" s="111">
        <v>8.5</v>
      </c>
      <c r="J137" s="111">
        <v>186</v>
      </c>
      <c r="K137" s="142">
        <f>I137/J137</f>
        <v>4.5698924731182797E-2</v>
      </c>
      <c r="L137" s="143"/>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9">
        <f t="shared" si="23"/>
        <v>4</v>
      </c>
      <c r="D138" s="84"/>
      <c r="E138" s="79"/>
      <c r="F138" s="79"/>
      <c r="G138" s="84"/>
      <c r="H138" s="87" t="s">
        <v>2464</v>
      </c>
      <c r="I138" s="108"/>
      <c r="J138" s="108"/>
      <c r="K138" s="111">
        <v>0.25</v>
      </c>
      <c r="L138" s="144">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9">
        <f t="shared" si="23"/>
        <v>4</v>
      </c>
      <c r="D139" s="84"/>
      <c r="E139" s="79"/>
      <c r="F139" s="79"/>
      <c r="G139" s="84"/>
      <c r="H139" s="87" t="s">
        <v>2465</v>
      </c>
      <c r="I139" s="108"/>
      <c r="J139" s="108"/>
      <c r="K139" s="111">
        <v>0.1</v>
      </c>
      <c r="L139" s="143"/>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9">
        <f t="shared" si="23"/>
        <v>4</v>
      </c>
      <c r="D140" s="84"/>
      <c r="E140" s="79"/>
      <c r="F140" s="79"/>
      <c r="G140" s="84"/>
      <c r="H140" s="87" t="s">
        <v>290</v>
      </c>
      <c r="I140" s="108"/>
      <c r="J140" s="108"/>
      <c r="K140" s="108"/>
      <c r="L140" s="144">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9">
        <f t="shared" si="23"/>
        <v>4</v>
      </c>
      <c r="D141" s="84"/>
      <c r="E141" s="79"/>
      <c r="F141" s="79"/>
      <c r="G141" s="84"/>
      <c r="H141" s="145" t="s">
        <v>2466</v>
      </c>
      <c r="I141" s="146"/>
      <c r="J141" s="146"/>
      <c r="K141" s="365">
        <f>SUM(K137:K140)</f>
        <v>0.39569892473118284</v>
      </c>
      <c r="L141" s="147"/>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9">
        <f t="shared" si="23"/>
        <v>4</v>
      </c>
      <c r="D142" s="84"/>
      <c r="E142" s="79"/>
      <c r="F142" s="79"/>
      <c r="G142" s="84"/>
      <c r="H142" s="87" t="s">
        <v>2467</v>
      </c>
      <c r="I142" s="108"/>
      <c r="J142" s="108"/>
      <c r="K142" s="143">
        <f>SUMPRODUCT($J$124:$P$124,$J$125:$P$125)</f>
        <v>0.65811216899732228</v>
      </c>
      <c r="L142" s="108"/>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9">
        <f t="shared" si="23"/>
        <v>4</v>
      </c>
      <c r="D143" s="84"/>
      <c r="E143" s="79"/>
      <c r="F143" s="79"/>
      <c r="G143" s="84"/>
      <c r="H143" s="145" t="s">
        <v>2468</v>
      </c>
      <c r="I143" s="146"/>
      <c r="J143" s="146"/>
      <c r="K143" s="365">
        <f>K141/K142</f>
        <v>0.60126364983351777</v>
      </c>
      <c r="L143" s="147">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9">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hidden="1" customHeight="1" outlineLevel="2" x14ac:dyDescent="0.25">
      <c r="A145" s="54"/>
      <c r="B145" s="63"/>
      <c r="C145" s="99">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3"/>
      <c r="C146" s="112">
        <f>INT($C$86)+1.005</f>
        <v>2.0049999999999999</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6" t="s">
        <v>213</v>
      </c>
      <c r="AJ146" s="54"/>
      <c r="AK146" s="54"/>
      <c r="AL146" s="54"/>
    </row>
    <row r="147" spans="1:38" ht="5.0999999999999996" customHeight="1" collapsed="1" x14ac:dyDescent="0.25">
      <c r="A147" s="54"/>
      <c r="B147" s="97"/>
      <c r="C147" s="114">
        <f>INT($C$86)+0.005</f>
        <v>1.0049999999999999</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54"/>
      <c r="AK147" s="54"/>
      <c r="AL147" s="54"/>
    </row>
    <row r="148" spans="1:38" hidden="1" outlineLevel="2" x14ac:dyDescent="0.25">
      <c r="A148" s="54"/>
      <c r="B148" s="54"/>
      <c r="C148" s="99">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9">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100">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1">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9">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9">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9">
        <f>INT($C$153)+1.02</f>
        <v>2.02</v>
      </c>
      <c r="D154" s="67"/>
      <c r="E154" s="68" t="s">
        <v>193</v>
      </c>
      <c r="F154" s="74">
        <v>1</v>
      </c>
      <c r="G154" s="75"/>
      <c r="H154" s="76" t="s">
        <v>292</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9">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9">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9">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9">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9">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9">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9">
        <f>INT(MAX($C$165:$C$270))+1</f>
        <v>5</v>
      </c>
      <c r="D161" s="84"/>
      <c r="E161" s="79"/>
      <c r="F161" s="79"/>
      <c r="G161" s="84"/>
      <c r="H161" s="79"/>
      <c r="I161" s="79"/>
      <c r="J161" s="79"/>
      <c r="K161" s="79"/>
      <c r="L161" s="79" t="s">
        <v>293</v>
      </c>
      <c r="M161" s="148" t="s">
        <v>294</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9">
        <f>INT(MAX($C$165:$C$270))+1</f>
        <v>5</v>
      </c>
      <c r="D162" s="84" t="s">
        <v>199</v>
      </c>
      <c r="E162" s="79"/>
      <c r="F162" s="79"/>
      <c r="G162" s="84"/>
      <c r="H162" s="79"/>
      <c r="I162" s="79"/>
      <c r="J162" s="79"/>
      <c r="K162" s="79"/>
      <c r="L162" s="79" t="s">
        <v>295</v>
      </c>
      <c r="M162" s="148" t="s">
        <v>296</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9">
        <f>INT(MAX($C$165:$C$270))+1</f>
        <v>5</v>
      </c>
      <c r="D163" s="84" t="s">
        <v>199</v>
      </c>
      <c r="E163" s="79"/>
      <c r="F163" s="79"/>
      <c r="G163" s="84"/>
      <c r="H163" s="79"/>
      <c r="I163" s="79"/>
      <c r="J163" s="79"/>
      <c r="K163" s="79"/>
      <c r="L163" s="79"/>
      <c r="M163" s="148" t="s">
        <v>297</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collapsed="1" x14ac:dyDescent="0.25">
      <c r="A164" s="54"/>
      <c r="B164" s="63"/>
      <c r="C164" s="99">
        <f>INT($C$153)+1</f>
        <v>2</v>
      </c>
      <c r="D164" s="84"/>
      <c r="E164" s="79"/>
      <c r="F164" s="79"/>
      <c r="G164" s="84"/>
      <c r="H164" s="102" t="s">
        <v>298</v>
      </c>
      <c r="I164" s="103"/>
      <c r="J164" s="104"/>
      <c r="K164" s="104"/>
      <c r="L164" s="104"/>
      <c r="M164" s="104"/>
      <c r="N164" s="104"/>
      <c r="O164" s="104"/>
      <c r="P164" s="104"/>
      <c r="Q164" s="104"/>
      <c r="R164" s="104"/>
      <c r="S164" s="104"/>
      <c r="T164" s="104"/>
      <c r="U164" s="104"/>
      <c r="V164" s="104"/>
      <c r="W164" s="104"/>
      <c r="X164" s="104"/>
      <c r="Y164" s="105"/>
      <c r="Z164" s="105"/>
      <c r="AA164" s="105"/>
      <c r="AB164" s="105"/>
      <c r="AC164" s="105"/>
      <c r="AD164" s="105"/>
      <c r="AE164" s="105"/>
      <c r="AF164" s="105"/>
      <c r="AG164" s="105"/>
      <c r="AH164" s="84"/>
      <c r="AI164" s="66"/>
      <c r="AJ164" s="54"/>
      <c r="AK164" s="54"/>
      <c r="AL164" s="54"/>
    </row>
    <row r="165" spans="1:38" ht="5.0999999999999996" hidden="1" customHeight="1" outlineLevel="3" x14ac:dyDescent="0.25">
      <c r="A165" s="54"/>
      <c r="B165" s="63"/>
      <c r="C165" s="99">
        <f>INT($C$153)+3.005</f>
        <v>4.0049999999999999</v>
      </c>
      <c r="D165" s="84" t="s">
        <v>200</v>
      </c>
      <c r="E165" s="84"/>
      <c r="F165" s="84"/>
      <c r="G165" s="84"/>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84"/>
      <c r="AI165" s="66"/>
      <c r="AJ165" s="54"/>
      <c r="AK165" s="54"/>
      <c r="AL165" s="54"/>
    </row>
    <row r="166" spans="1:38" hidden="1" outlineLevel="2" x14ac:dyDescent="0.25">
      <c r="A166" s="54"/>
      <c r="B166" s="63"/>
      <c r="C166" s="99">
        <f>INT($C$153)+2</f>
        <v>3</v>
      </c>
      <c r="D166" s="84"/>
      <c r="E166" s="79"/>
      <c r="F166" s="79"/>
      <c r="G166" s="84"/>
      <c r="H166" s="149" t="s">
        <v>299</v>
      </c>
      <c r="I166" s="109">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hidden="1" outlineLevel="2" x14ac:dyDescent="0.25">
      <c r="A167" s="54"/>
      <c r="B167" s="63"/>
      <c r="C167" s="99">
        <f>INT($C$153)+2</f>
        <v>3</v>
      </c>
      <c r="D167" s="84"/>
      <c r="E167" s="79"/>
      <c r="F167" s="79"/>
      <c r="G167" s="84"/>
      <c r="H167" s="150"/>
      <c r="I167" s="107" t="s">
        <v>300</v>
      </c>
      <c r="J167" s="119"/>
      <c r="K167" s="119"/>
      <c r="L167" s="87"/>
      <c r="M167" s="87"/>
      <c r="N167" s="87" t="s">
        <v>301</v>
      </c>
      <c r="O167" s="107" t="s">
        <v>302</v>
      </c>
      <c r="P167" s="107"/>
      <c r="Q167" s="108"/>
      <c r="R167" s="151" t="s">
        <v>303</v>
      </c>
      <c r="S167" s="151"/>
      <c r="T167" s="151"/>
      <c r="U167" s="117"/>
      <c r="V167" s="117"/>
      <c r="W167" s="117" t="s">
        <v>304</v>
      </c>
      <c r="X167" s="117"/>
      <c r="Y167" s="90" t="s">
        <v>305</v>
      </c>
      <c r="Z167" s="108" t="s">
        <v>289</v>
      </c>
      <c r="AA167" s="108" t="s">
        <v>306</v>
      </c>
      <c r="AB167" s="108" t="s">
        <v>307</v>
      </c>
      <c r="AC167" s="108" t="s">
        <v>290</v>
      </c>
      <c r="AD167" s="108" t="s">
        <v>130</v>
      </c>
      <c r="AE167" s="108" t="s">
        <v>291</v>
      </c>
      <c r="AF167" s="107"/>
      <c r="AG167" s="117"/>
      <c r="AH167" s="84"/>
      <c r="AI167" s="66"/>
      <c r="AJ167" s="54"/>
      <c r="AK167" s="54"/>
      <c r="AL167" s="54"/>
    </row>
    <row r="168" spans="1:38" ht="30" hidden="1" customHeight="1" outlineLevel="2" x14ac:dyDescent="0.25">
      <c r="A168" s="54"/>
      <c r="B168" s="63"/>
      <c r="C168" s="99">
        <f>INT($C$153)+2</f>
        <v>3</v>
      </c>
      <c r="D168" s="84"/>
      <c r="E168" s="79"/>
      <c r="F168" s="79"/>
      <c r="G168" s="84"/>
      <c r="H168" s="121"/>
      <c r="I168" s="152" t="s">
        <v>308</v>
      </c>
      <c r="J168" s="152" t="s">
        <v>309</v>
      </c>
      <c r="K168" s="152" t="s">
        <v>310</v>
      </c>
      <c r="L168" s="153" t="s">
        <v>311</v>
      </c>
      <c r="M168" s="153" t="s">
        <v>312</v>
      </c>
      <c r="N168" s="154" t="s">
        <v>313</v>
      </c>
      <c r="O168" s="152" t="s">
        <v>314</v>
      </c>
      <c r="P168" s="152" t="s">
        <v>315</v>
      </c>
      <c r="Q168" s="153" t="s">
        <v>316</v>
      </c>
      <c r="R168" s="122">
        <v>20</v>
      </c>
      <c r="S168" s="122">
        <v>50</v>
      </c>
      <c r="T168" s="122">
        <v>80</v>
      </c>
      <c r="U168" s="371" t="s">
        <v>317</v>
      </c>
      <c r="V168" s="372"/>
      <c r="W168" s="153" t="s">
        <v>318</v>
      </c>
      <c r="X168" s="153" t="s">
        <v>319</v>
      </c>
      <c r="Y168" s="121"/>
      <c r="Z168" s="152" t="s">
        <v>320</v>
      </c>
      <c r="AA168" s="152" t="s">
        <v>321</v>
      </c>
      <c r="AB168" s="152" t="s">
        <v>320</v>
      </c>
      <c r="AC168" s="152" t="s">
        <v>320</v>
      </c>
      <c r="AD168" s="152" t="s">
        <v>321</v>
      </c>
      <c r="AE168" s="152" t="s">
        <v>320</v>
      </c>
      <c r="AF168" s="152" t="s">
        <v>321</v>
      </c>
      <c r="AG168" s="87"/>
      <c r="AH168" s="84"/>
      <c r="AI168" s="66"/>
      <c r="AJ168" s="54"/>
      <c r="AK168" s="54"/>
      <c r="AL168" s="54"/>
    </row>
    <row r="169" spans="1:38" hidden="1" outlineLevel="3" x14ac:dyDescent="0.25">
      <c r="A169" s="54"/>
      <c r="B169" s="63"/>
      <c r="C169" s="99">
        <f>INT($C$153+3)</f>
        <v>4</v>
      </c>
      <c r="D169" s="84"/>
      <c r="E169" s="79">
        <v>0</v>
      </c>
      <c r="F169" s="79"/>
      <c r="G169" s="84"/>
      <c r="H169" s="155" t="s">
        <v>322</v>
      </c>
      <c r="I169" s="156" t="b">
        <v>1</v>
      </c>
      <c r="J169" s="156" t="b">
        <v>1</v>
      </c>
      <c r="K169" s="156" t="b">
        <v>1</v>
      </c>
      <c r="L169" s="157">
        <v>0</v>
      </c>
      <c r="M169" s="157">
        <v>0</v>
      </c>
      <c r="N169" s="157">
        <v>12</v>
      </c>
      <c r="O169" s="158">
        <v>0.2</v>
      </c>
      <c r="P169" s="158">
        <v>0.2</v>
      </c>
      <c r="Q169" s="158">
        <v>0</v>
      </c>
      <c r="R169" s="157">
        <f>316/461</f>
        <v>0.68546637744034711</v>
      </c>
      <c r="S169" s="159">
        <v>1</v>
      </c>
      <c r="T169" s="157">
        <f>614/461</f>
        <v>1.331887201735358</v>
      </c>
      <c r="U169" s="156">
        <v>93</v>
      </c>
      <c r="V169" s="160">
        <f>FORECAST(U169,$R169:$T169,$R$168:$T$168)</f>
        <v>1.469052783803326</v>
      </c>
      <c r="W169" s="161">
        <f t="shared" ref="W169:W176" ca="1" si="24">MAX(OFFSET($J$184,$E169*i_s5_len,0,i_s5_len,COUNTA($J$180:$O$180)))</f>
        <v>6.8</v>
      </c>
      <c r="X169" s="161">
        <f t="shared" ref="X169:X176" ca="1" si="25">W169/V169</f>
        <v>4.6288329969975885</v>
      </c>
      <c r="Y169" s="162" t="s">
        <v>323</v>
      </c>
      <c r="Z169" s="157">
        <v>3</v>
      </c>
      <c r="AA169" s="163">
        <v>0.05</v>
      </c>
      <c r="AB169" s="157">
        <v>0</v>
      </c>
      <c r="AC169" s="157">
        <v>1</v>
      </c>
      <c r="AD169" s="164">
        <v>4.4999999999999997E-3</v>
      </c>
      <c r="AE169" s="159">
        <f t="shared" ref="AE169:AF176" si="26">SUMIFS($Z169:$AD169,$Z$168:$AD$168,AE$168)</f>
        <v>4</v>
      </c>
      <c r="AF169" s="165">
        <f t="shared" si="26"/>
        <v>5.45E-2</v>
      </c>
      <c r="AG169" s="87"/>
      <c r="AH169" s="84"/>
      <c r="AI169" s="66"/>
      <c r="AJ169" s="54"/>
      <c r="AK169" s="54"/>
      <c r="AL169" s="54"/>
    </row>
    <row r="170" spans="1:38" hidden="1" outlineLevel="3" x14ac:dyDescent="0.25">
      <c r="A170" s="54"/>
      <c r="B170" s="63"/>
      <c r="C170" s="99">
        <f t="shared" ref="C170:C177" si="27">INT($C$153)+3</f>
        <v>4</v>
      </c>
      <c r="D170" s="84"/>
      <c r="E170" s="79">
        <v>1</v>
      </c>
      <c r="F170" s="79"/>
      <c r="G170" s="84"/>
      <c r="H170" s="87" t="s">
        <v>324</v>
      </c>
      <c r="I170" s="109" t="b">
        <v>1</v>
      </c>
      <c r="J170" s="109" t="b">
        <v>1</v>
      </c>
      <c r="K170" s="109" t="b">
        <v>1</v>
      </c>
      <c r="L170" s="111">
        <v>0</v>
      </c>
      <c r="M170" s="111">
        <v>0</v>
      </c>
      <c r="N170" s="166" t="s">
        <v>325</v>
      </c>
      <c r="O170" s="167">
        <v>0.2</v>
      </c>
      <c r="P170" s="167">
        <v>0.2</v>
      </c>
      <c r="Q170" s="167">
        <v>0</v>
      </c>
      <c r="R170" s="111">
        <f>282/450</f>
        <v>0.62666666666666671</v>
      </c>
      <c r="S170" s="108">
        <v>1</v>
      </c>
      <c r="T170" s="111">
        <f>592/450</f>
        <v>1.3155555555555556</v>
      </c>
      <c r="U170" s="139">
        <v>96</v>
      </c>
      <c r="V170" s="117">
        <f t="shared" ref="V170:V176" si="28">FORECAST(U170,$R170:$T170,$R$168:$T$168)</f>
        <v>1.5088888888888889</v>
      </c>
      <c r="W170" s="168">
        <f t="shared" ca="1" si="24"/>
        <v>6.8</v>
      </c>
      <c r="X170" s="168">
        <f t="shared" ca="1" si="25"/>
        <v>4.5066273932253313</v>
      </c>
      <c r="Y170" s="169" t="s">
        <v>323</v>
      </c>
      <c r="Z170" s="170">
        <v>3</v>
      </c>
      <c r="AA170" s="171">
        <v>0.05</v>
      </c>
      <c r="AB170" s="170">
        <v>0</v>
      </c>
      <c r="AC170" s="170">
        <v>1</v>
      </c>
      <c r="AD170" s="172">
        <v>4.4999999999999997E-3</v>
      </c>
      <c r="AE170" s="173">
        <f t="shared" si="26"/>
        <v>4</v>
      </c>
      <c r="AF170" s="174">
        <f t="shared" si="26"/>
        <v>5.45E-2</v>
      </c>
      <c r="AG170" s="87"/>
      <c r="AH170" s="84"/>
      <c r="AI170" s="66"/>
      <c r="AJ170" s="54"/>
      <c r="AK170" s="54"/>
      <c r="AL170" s="54"/>
    </row>
    <row r="171" spans="1:38" hidden="1" outlineLevel="3" x14ac:dyDescent="0.25">
      <c r="A171" s="54"/>
      <c r="B171" s="63"/>
      <c r="C171" s="99">
        <f t="shared" si="27"/>
        <v>4</v>
      </c>
      <c r="D171" s="84"/>
      <c r="E171" s="79">
        <v>2</v>
      </c>
      <c r="F171" s="79"/>
      <c r="G171" s="84"/>
      <c r="H171" s="87" t="s">
        <v>326</v>
      </c>
      <c r="I171" s="109" t="b">
        <v>1</v>
      </c>
      <c r="J171" s="109" t="b">
        <v>1</v>
      </c>
      <c r="K171" s="109" t="b">
        <v>1</v>
      </c>
      <c r="L171" s="111">
        <v>0</v>
      </c>
      <c r="M171" s="111">
        <v>0</v>
      </c>
      <c r="N171" s="111" t="s">
        <v>325</v>
      </c>
      <c r="O171" s="167">
        <v>0.2</v>
      </c>
      <c r="P171" s="167">
        <v>0.2</v>
      </c>
      <c r="Q171" s="167">
        <v>0</v>
      </c>
      <c r="R171" s="111">
        <f>271/422</f>
        <v>0.64218009478672988</v>
      </c>
      <c r="S171" s="108">
        <v>1</v>
      </c>
      <c r="T171" s="111">
        <f>547/422</f>
        <v>1.2962085308056872</v>
      </c>
      <c r="U171" s="139">
        <v>99</v>
      </c>
      <c r="V171" s="117">
        <f t="shared" si="28"/>
        <v>1.5135860979462874</v>
      </c>
      <c r="W171" s="168">
        <f t="shared" ca="1" si="24"/>
        <v>6.4</v>
      </c>
      <c r="X171" s="168">
        <f t="shared" ca="1" si="25"/>
        <v>4.2283686462790948</v>
      </c>
      <c r="Y171" s="169" t="s">
        <v>323</v>
      </c>
      <c r="Z171" s="170">
        <v>3</v>
      </c>
      <c r="AA171" s="171">
        <v>0.05</v>
      </c>
      <c r="AB171" s="170">
        <v>0</v>
      </c>
      <c r="AC171" s="170">
        <v>1</v>
      </c>
      <c r="AD171" s="172">
        <v>4.4999999999999997E-3</v>
      </c>
      <c r="AE171" s="173">
        <f t="shared" si="26"/>
        <v>4</v>
      </c>
      <c r="AF171" s="174">
        <f t="shared" si="26"/>
        <v>5.45E-2</v>
      </c>
      <c r="AG171" s="87"/>
      <c r="AH171" s="84"/>
      <c r="AI171" s="66"/>
      <c r="AJ171" s="54"/>
      <c r="AK171" s="54"/>
      <c r="AL171" s="54"/>
    </row>
    <row r="172" spans="1:38" hidden="1" outlineLevel="3" x14ac:dyDescent="0.25">
      <c r="A172" s="54"/>
      <c r="B172" s="63"/>
      <c r="C172" s="99">
        <f t="shared" si="27"/>
        <v>4</v>
      </c>
      <c r="D172" s="84"/>
      <c r="E172" s="79">
        <v>3</v>
      </c>
      <c r="F172" s="79"/>
      <c r="G172" s="84"/>
      <c r="H172" s="87" t="s">
        <v>327</v>
      </c>
      <c r="I172" s="109" t="b">
        <v>0</v>
      </c>
      <c r="J172" s="109" t="b">
        <v>1</v>
      </c>
      <c r="K172" s="109" t="b">
        <v>1</v>
      </c>
      <c r="L172" s="111">
        <v>0</v>
      </c>
      <c r="M172" s="111">
        <v>0</v>
      </c>
      <c r="N172" s="111" t="s">
        <v>325</v>
      </c>
      <c r="O172" s="167">
        <v>0.2</v>
      </c>
      <c r="P172" s="167">
        <v>0.2</v>
      </c>
      <c r="Q172" s="167">
        <v>-0.01</v>
      </c>
      <c r="R172" s="111">
        <v>0.65</v>
      </c>
      <c r="S172" s="108">
        <v>1</v>
      </c>
      <c r="T172" s="111">
        <v>1.3</v>
      </c>
      <c r="U172" s="139">
        <v>90</v>
      </c>
      <c r="V172" s="117">
        <f t="shared" si="28"/>
        <v>1.4166666666666667</v>
      </c>
      <c r="W172" s="168">
        <f t="shared" ca="1" si="24"/>
        <v>5.2</v>
      </c>
      <c r="X172" s="168">
        <f t="shared" ca="1" si="25"/>
        <v>3.6705882352941175</v>
      </c>
      <c r="Y172" s="169" t="s">
        <v>323</v>
      </c>
      <c r="Z172" s="170">
        <v>3</v>
      </c>
      <c r="AA172" s="171">
        <v>0.05</v>
      </c>
      <c r="AB172" s="170">
        <v>0</v>
      </c>
      <c r="AC172" s="170">
        <v>0.2</v>
      </c>
      <c r="AD172" s="172">
        <v>4.4999999999999997E-3</v>
      </c>
      <c r="AE172" s="173">
        <f t="shared" si="26"/>
        <v>3.2</v>
      </c>
      <c r="AF172" s="174">
        <f t="shared" si="26"/>
        <v>5.45E-2</v>
      </c>
      <c r="AG172" s="87"/>
      <c r="AH172" s="84"/>
      <c r="AI172" s="66"/>
      <c r="AJ172" s="54"/>
      <c r="AK172" s="54"/>
      <c r="AL172" s="54"/>
    </row>
    <row r="173" spans="1:38" hidden="1" outlineLevel="3" x14ac:dyDescent="0.25">
      <c r="A173" s="54"/>
      <c r="B173" s="63"/>
      <c r="C173" s="99">
        <f t="shared" si="27"/>
        <v>4</v>
      </c>
      <c r="D173" s="84"/>
      <c r="E173" s="79">
        <v>4</v>
      </c>
      <c r="F173" s="79"/>
      <c r="G173" s="84"/>
      <c r="H173" s="87" t="s">
        <v>328</v>
      </c>
      <c r="I173" s="109" t="b">
        <v>0</v>
      </c>
      <c r="J173" s="109" t="b">
        <v>0</v>
      </c>
      <c r="K173" s="109" t="b">
        <v>1</v>
      </c>
      <c r="L173" s="111">
        <v>1</v>
      </c>
      <c r="M173" s="111">
        <v>2</v>
      </c>
      <c r="N173" s="111" t="s">
        <v>325</v>
      </c>
      <c r="O173" s="167">
        <v>0.2</v>
      </c>
      <c r="P173" s="167">
        <v>0.2</v>
      </c>
      <c r="Q173" s="167">
        <v>-0.02</v>
      </c>
      <c r="R173" s="111">
        <v>0.65</v>
      </c>
      <c r="S173" s="108">
        <v>1</v>
      </c>
      <c r="T173" s="111">
        <v>1.3</v>
      </c>
      <c r="U173" s="139">
        <v>90</v>
      </c>
      <c r="V173" s="117">
        <f t="shared" si="28"/>
        <v>1.4166666666666667</v>
      </c>
      <c r="W173" s="168">
        <f t="shared" ca="1" si="24"/>
        <v>150</v>
      </c>
      <c r="X173" s="168">
        <f t="shared" ca="1" si="25"/>
        <v>105.88235294117646</v>
      </c>
      <c r="Y173" s="169" t="s">
        <v>329</v>
      </c>
      <c r="Z173" s="170">
        <v>5</v>
      </c>
      <c r="AA173" s="171">
        <v>0.05</v>
      </c>
      <c r="AB173" s="170">
        <v>0</v>
      </c>
      <c r="AC173" s="170">
        <v>0.2</v>
      </c>
      <c r="AD173" s="172">
        <v>4.4999999999999997E-3</v>
      </c>
      <c r="AE173" s="173">
        <f t="shared" si="26"/>
        <v>5.2</v>
      </c>
      <c r="AF173" s="174">
        <f t="shared" si="26"/>
        <v>5.45E-2</v>
      </c>
      <c r="AG173" s="87"/>
      <c r="AH173" s="84"/>
      <c r="AI173" s="66"/>
      <c r="AJ173" s="54"/>
      <c r="AK173" s="54"/>
      <c r="AL173" s="54"/>
    </row>
    <row r="174" spans="1:38" hidden="1" outlineLevel="3" x14ac:dyDescent="0.25">
      <c r="A174" s="54"/>
      <c r="B174" s="63"/>
      <c r="C174" s="99">
        <f t="shared" si="27"/>
        <v>4</v>
      </c>
      <c r="D174" s="84"/>
      <c r="E174" s="79">
        <v>5</v>
      </c>
      <c r="F174" s="79"/>
      <c r="G174" s="84"/>
      <c r="H174" s="87" t="s">
        <v>330</v>
      </c>
      <c r="I174" s="109" t="b">
        <v>0</v>
      </c>
      <c r="J174" s="109" t="b">
        <v>1</v>
      </c>
      <c r="K174" s="109" t="b">
        <v>0</v>
      </c>
      <c r="L174" s="111">
        <v>1</v>
      </c>
      <c r="M174" s="111">
        <v>2</v>
      </c>
      <c r="N174" s="111">
        <v>20</v>
      </c>
      <c r="O174" s="167">
        <v>0.2</v>
      </c>
      <c r="P174" s="167">
        <v>0.2</v>
      </c>
      <c r="Q174" s="167">
        <v>-0.02</v>
      </c>
      <c r="R174" s="111">
        <v>0.65</v>
      </c>
      <c r="S174" s="108">
        <v>1</v>
      </c>
      <c r="T174" s="111">
        <v>1.3</v>
      </c>
      <c r="U174" s="139">
        <v>90</v>
      </c>
      <c r="V174" s="117">
        <f t="shared" si="28"/>
        <v>1.4166666666666667</v>
      </c>
      <c r="W174" s="168">
        <f t="shared" ca="1" si="24"/>
        <v>220</v>
      </c>
      <c r="X174" s="168">
        <f t="shared" ca="1" si="25"/>
        <v>155.29411764705881</v>
      </c>
      <c r="Y174" s="169" t="s">
        <v>331</v>
      </c>
      <c r="Z174" s="170">
        <v>3</v>
      </c>
      <c r="AA174" s="171">
        <v>0.05</v>
      </c>
      <c r="AB174" s="170">
        <v>0.5</v>
      </c>
      <c r="AC174" s="170">
        <v>0.2</v>
      </c>
      <c r="AD174" s="172">
        <v>4.4999999999999997E-3</v>
      </c>
      <c r="AE174" s="173">
        <f t="shared" si="26"/>
        <v>3.7</v>
      </c>
      <c r="AF174" s="174">
        <f t="shared" si="26"/>
        <v>5.45E-2</v>
      </c>
      <c r="AG174" s="87"/>
      <c r="AH174" s="84"/>
      <c r="AI174" s="66"/>
      <c r="AJ174" s="54"/>
      <c r="AK174" s="54"/>
      <c r="AL174" s="54"/>
    </row>
    <row r="175" spans="1:38" hidden="1" outlineLevel="3" x14ac:dyDescent="0.25">
      <c r="A175" s="54"/>
      <c r="B175" s="63"/>
      <c r="C175" s="99">
        <f t="shared" si="27"/>
        <v>4</v>
      </c>
      <c r="D175" s="84"/>
      <c r="E175" s="79">
        <v>6</v>
      </c>
      <c r="F175" s="79"/>
      <c r="G175" s="84"/>
      <c r="H175" s="121" t="s">
        <v>332</v>
      </c>
      <c r="I175" s="175" t="b">
        <v>0</v>
      </c>
      <c r="J175" s="175" t="b">
        <v>1</v>
      </c>
      <c r="K175" s="175" t="b">
        <v>1</v>
      </c>
      <c r="L175" s="176">
        <v>0</v>
      </c>
      <c r="M175" s="176">
        <v>0</v>
      </c>
      <c r="N175" s="176" t="s">
        <v>325</v>
      </c>
      <c r="O175" s="167">
        <v>0.2</v>
      </c>
      <c r="P175" s="167">
        <v>0.2</v>
      </c>
      <c r="Q175" s="167">
        <v>-0.02</v>
      </c>
      <c r="R175" s="176">
        <f>148/265</f>
        <v>0.55849056603773584</v>
      </c>
      <c r="S175" s="152">
        <v>1</v>
      </c>
      <c r="T175" s="176">
        <f>406/265</f>
        <v>1.5320754716981133</v>
      </c>
      <c r="U175" s="177">
        <v>99</v>
      </c>
      <c r="V175" s="178">
        <f t="shared" si="28"/>
        <v>1.8252830188679245</v>
      </c>
      <c r="W175" s="179">
        <f t="shared" ca="1" si="24"/>
        <v>5.2</v>
      </c>
      <c r="X175" s="179">
        <f t="shared" ca="1" si="25"/>
        <v>2.8488732685548896</v>
      </c>
      <c r="Y175" s="180" t="s">
        <v>331</v>
      </c>
      <c r="Z175" s="181">
        <v>3</v>
      </c>
      <c r="AA175" s="182">
        <v>0.05</v>
      </c>
      <c r="AB175" s="181">
        <v>0.5</v>
      </c>
      <c r="AC175" s="181">
        <v>0.2</v>
      </c>
      <c r="AD175" s="183">
        <v>4.4999999999999997E-3</v>
      </c>
      <c r="AE175" s="184">
        <f t="shared" si="26"/>
        <v>3.7</v>
      </c>
      <c r="AF175" s="185">
        <f t="shared" si="26"/>
        <v>5.45E-2</v>
      </c>
      <c r="AG175" s="87"/>
      <c r="AH175" s="84"/>
      <c r="AI175" s="66"/>
      <c r="AJ175" s="54"/>
      <c r="AK175" s="54"/>
      <c r="AL175" s="54"/>
    </row>
    <row r="176" spans="1:38" hidden="1" outlineLevel="3" x14ac:dyDescent="0.25">
      <c r="A176" s="54"/>
      <c r="B176" s="63"/>
      <c r="C176" s="99">
        <f t="shared" si="27"/>
        <v>4</v>
      </c>
      <c r="D176" s="84"/>
      <c r="E176" s="79">
        <v>7</v>
      </c>
      <c r="F176" s="79"/>
      <c r="G176" s="84"/>
      <c r="H176" s="186" t="s">
        <v>333</v>
      </c>
      <c r="I176" s="187" t="b">
        <v>1</v>
      </c>
      <c r="J176" s="187" t="b">
        <v>0</v>
      </c>
      <c r="K176" s="187" t="b">
        <v>0</v>
      </c>
      <c r="L176" s="188">
        <v>0</v>
      </c>
      <c r="M176" s="188">
        <v>0</v>
      </c>
      <c r="N176" s="188" t="s">
        <v>325</v>
      </c>
      <c r="O176" s="189">
        <v>0.2</v>
      </c>
      <c r="P176" s="189">
        <v>0.2</v>
      </c>
      <c r="Q176" s="189">
        <v>-0.02</v>
      </c>
      <c r="R176" s="188">
        <v>0.65</v>
      </c>
      <c r="S176" s="190">
        <v>1</v>
      </c>
      <c r="T176" s="188">
        <v>1.3</v>
      </c>
      <c r="U176" s="187">
        <v>90</v>
      </c>
      <c r="V176" s="186">
        <f t="shared" si="28"/>
        <v>1.4166666666666667</v>
      </c>
      <c r="W176" s="191">
        <f t="shared" ca="1" si="24"/>
        <v>2</v>
      </c>
      <c r="X176" s="191">
        <f t="shared" ca="1" si="25"/>
        <v>1.4117647058823528</v>
      </c>
      <c r="Y176" s="192" t="s">
        <v>331</v>
      </c>
      <c r="Z176" s="188">
        <v>3</v>
      </c>
      <c r="AA176" s="193">
        <v>0.05</v>
      </c>
      <c r="AB176" s="188">
        <v>0.5</v>
      </c>
      <c r="AC176" s="188">
        <v>0.2</v>
      </c>
      <c r="AD176" s="194">
        <v>4.4999999999999997E-3</v>
      </c>
      <c r="AE176" s="190">
        <f t="shared" si="26"/>
        <v>3.7</v>
      </c>
      <c r="AF176" s="195">
        <f t="shared" si="26"/>
        <v>5.45E-2</v>
      </c>
      <c r="AG176" s="87"/>
      <c r="AH176" s="84"/>
      <c r="AI176" s="66"/>
      <c r="AJ176" s="54"/>
      <c r="AK176" s="54"/>
      <c r="AL176" s="54"/>
    </row>
    <row r="177" spans="1:38" hidden="1" outlineLevel="3" x14ac:dyDescent="0.25">
      <c r="A177" s="54"/>
      <c r="B177" s="63"/>
      <c r="C177" s="99">
        <f t="shared" si="27"/>
        <v>4</v>
      </c>
      <c r="D177" s="84"/>
      <c r="E177" s="79"/>
      <c r="F177" s="79"/>
      <c r="G177" s="84"/>
      <c r="H177" s="117"/>
      <c r="I177" s="117"/>
      <c r="J177" s="87"/>
      <c r="K177" s="87"/>
      <c r="L177" s="117"/>
      <c r="M177" s="117"/>
      <c r="N177" s="117"/>
      <c r="O177" s="117"/>
      <c r="P177" s="117"/>
      <c r="Q177" s="117"/>
      <c r="R177" s="117"/>
      <c r="S177" s="117"/>
      <c r="T177" s="117"/>
      <c r="U177" s="117"/>
      <c r="V177" s="117"/>
      <c r="W177" s="117"/>
      <c r="X177" s="117"/>
      <c r="Y177" s="117"/>
      <c r="Z177" s="117"/>
      <c r="AA177" s="117"/>
      <c r="AB177" s="117"/>
      <c r="AC177" s="117"/>
      <c r="AD177" s="117"/>
      <c r="AE177" s="117"/>
      <c r="AF177" s="87"/>
      <c r="AG177" s="87"/>
      <c r="AH177" s="84"/>
      <c r="AI177" s="66"/>
      <c r="AJ177" s="54"/>
      <c r="AK177" s="54"/>
      <c r="AL177" s="54"/>
    </row>
    <row r="178" spans="1:38" outlineLevel="1" collapsed="1" x14ac:dyDescent="0.25">
      <c r="A178" s="54"/>
      <c r="B178" s="63"/>
      <c r="C178" s="99">
        <f>INT($C$153)+1</f>
        <v>2</v>
      </c>
      <c r="D178" s="84"/>
      <c r="E178" s="79"/>
      <c r="F178" s="79"/>
      <c r="G178" s="84"/>
      <c r="H178" s="102" t="s">
        <v>334</v>
      </c>
      <c r="I178" s="103" t="str">
        <f>"("&amp;ROWS(i_salep_weight_scalar_s7s5s6)&amp;","&amp;COLUMNS(i_salep_weight_scalar_s7s5s6)&amp;"): i_salep_lw1_scalar_s5s6(pointers) = formula"</f>
        <v>(64,6): i_salep_lw1_scalar_s5s6(pointers) = formula</v>
      </c>
      <c r="J178" s="104"/>
      <c r="K178" s="104"/>
      <c r="L178" s="104"/>
      <c r="M178" s="104"/>
      <c r="N178" s="104"/>
      <c r="O178" s="104"/>
      <c r="P178" s="104"/>
      <c r="Q178" s="104"/>
      <c r="R178" s="104"/>
      <c r="S178" s="104"/>
      <c r="T178" s="104"/>
      <c r="U178" s="104"/>
      <c r="V178" s="104"/>
      <c r="W178" s="104"/>
      <c r="X178" s="104"/>
      <c r="Y178" s="105"/>
      <c r="Z178" s="105"/>
      <c r="AA178" s="105"/>
      <c r="AB178" s="105"/>
      <c r="AC178" s="105"/>
      <c r="AD178" s="105"/>
      <c r="AE178" s="105"/>
      <c r="AF178" s="105"/>
      <c r="AG178" s="105"/>
      <c r="AH178" s="84"/>
      <c r="AI178" s="66"/>
      <c r="AJ178" s="54"/>
      <c r="AK178" s="54"/>
      <c r="AL178" s="54"/>
    </row>
    <row r="179" spans="1:38" ht="5.0999999999999996" hidden="1" customHeight="1" outlineLevel="3" x14ac:dyDescent="0.25">
      <c r="A179" s="54"/>
      <c r="B179" s="63"/>
      <c r="C179" s="99">
        <f>INT($C$153)+3.005</f>
        <v>4.0049999999999999</v>
      </c>
      <c r="D179" s="84" t="s">
        <v>200</v>
      </c>
      <c r="E179" s="84"/>
      <c r="F179" s="84"/>
      <c r="G179" s="84"/>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84"/>
      <c r="AI179" s="66"/>
      <c r="AJ179" s="54"/>
      <c r="AK179" s="54"/>
      <c r="AL179" s="54"/>
    </row>
    <row r="180" spans="1:38" hidden="1" outlineLevel="2" x14ac:dyDescent="0.25">
      <c r="A180" s="54"/>
      <c r="B180" s="63"/>
      <c r="C180" s="99">
        <f>INT($C$153)+2</f>
        <v>3</v>
      </c>
      <c r="D180" s="84"/>
      <c r="E180" s="79"/>
      <c r="F180" s="79"/>
      <c r="G180" s="84"/>
      <c r="H180" s="87"/>
      <c r="I180" s="90" t="s">
        <v>335</v>
      </c>
      <c r="J180" s="122">
        <v>1</v>
      </c>
      <c r="K180" s="122">
        <v>2</v>
      </c>
      <c r="L180" s="122">
        <v>3</v>
      </c>
      <c r="M180" s="122">
        <v>4</v>
      </c>
      <c r="N180" s="122">
        <v>5</v>
      </c>
      <c r="O180" s="108">
        <f>N180+1</f>
        <v>6</v>
      </c>
      <c r="P180" s="87"/>
      <c r="Q180" s="121"/>
      <c r="R180" s="121"/>
      <c r="S180" s="121"/>
      <c r="T180" s="121"/>
      <c r="U180" s="121"/>
      <c r="V180" s="87"/>
      <c r="W180" s="87"/>
      <c r="X180" s="121"/>
      <c r="Y180" s="121"/>
      <c r="Z180" s="121"/>
      <c r="AA180" s="121"/>
      <c r="AB180" s="121"/>
      <c r="AC180" s="87"/>
      <c r="AD180" s="87"/>
      <c r="AE180" s="87"/>
      <c r="AF180" s="87"/>
      <c r="AG180" s="87"/>
      <c r="AH180" s="84"/>
      <c r="AI180" s="66"/>
      <c r="AJ180" s="54"/>
      <c r="AK180" s="54"/>
      <c r="AL180" s="54"/>
    </row>
    <row r="181" spans="1:38" hidden="1" outlineLevel="2" x14ac:dyDescent="0.25">
      <c r="A181" s="54"/>
      <c r="B181" s="63"/>
      <c r="C181" s="99">
        <f>INT($C$153)+2</f>
        <v>3</v>
      </c>
      <c r="D181" s="84"/>
      <c r="E181" s="79"/>
      <c r="F181" s="79"/>
      <c r="G181" s="84"/>
      <c r="H181" s="87"/>
      <c r="I181" s="90" t="s">
        <v>336</v>
      </c>
      <c r="J181" s="122">
        <v>1</v>
      </c>
      <c r="K181" s="122">
        <v>2</v>
      </c>
      <c r="L181" s="122">
        <v>2.5</v>
      </c>
      <c r="M181" s="122">
        <v>3</v>
      </c>
      <c r="N181" s="122">
        <v>4</v>
      </c>
      <c r="O181" s="108">
        <f>N181+1</f>
        <v>5</v>
      </c>
      <c r="P181" s="87"/>
      <c r="Q181" s="121" t="s">
        <v>337</v>
      </c>
      <c r="R181" s="121"/>
      <c r="S181" s="121"/>
      <c r="T181" s="121"/>
      <c r="U181" s="121"/>
      <c r="V181" s="87"/>
      <c r="W181" s="87"/>
      <c r="X181" s="121"/>
      <c r="Y181" s="121"/>
      <c r="Z181" s="121"/>
      <c r="AA181" s="121"/>
      <c r="AB181" s="121"/>
      <c r="AC181" s="87"/>
      <c r="AD181" s="87"/>
      <c r="AE181" s="87"/>
      <c r="AF181" s="87"/>
      <c r="AG181" s="87"/>
      <c r="AH181" s="84"/>
      <c r="AI181" s="66"/>
      <c r="AJ181" s="54"/>
      <c r="AK181" s="54"/>
      <c r="AL181" s="54"/>
    </row>
    <row r="182" spans="1:38" hidden="1" outlineLevel="2" x14ac:dyDescent="0.25">
      <c r="A182" s="54"/>
      <c r="B182" s="63"/>
      <c r="C182" s="99">
        <f>INT($C$153)+2</f>
        <v>3</v>
      </c>
      <c r="D182" s="84"/>
      <c r="E182" s="79"/>
      <c r="F182" s="79"/>
      <c r="G182" s="84"/>
      <c r="H182" s="87"/>
      <c r="I182" s="90" t="s">
        <v>338</v>
      </c>
      <c r="J182" s="167">
        <v>-0.04</v>
      </c>
      <c r="K182" s="167">
        <v>-0.02</v>
      </c>
      <c r="L182" s="167">
        <v>0</v>
      </c>
      <c r="M182" s="167">
        <v>0.02</v>
      </c>
      <c r="N182" s="167">
        <v>0.04</v>
      </c>
      <c r="O182" s="196">
        <f>N182</f>
        <v>0.04</v>
      </c>
      <c r="P182" s="87"/>
      <c r="Q182" s="87"/>
      <c r="R182" s="87"/>
      <c r="S182" s="87"/>
      <c r="T182" s="87"/>
      <c r="U182" s="87"/>
      <c r="V182" s="87"/>
      <c r="W182" s="87"/>
      <c r="X182" s="87"/>
      <c r="Y182" s="87"/>
      <c r="Z182" s="87"/>
      <c r="AA182" s="121"/>
      <c r="AB182" s="121"/>
      <c r="AC182" s="87"/>
      <c r="AD182" s="87"/>
      <c r="AE182" s="87"/>
      <c r="AF182" s="87"/>
      <c r="AG182" s="87"/>
      <c r="AH182" s="84"/>
      <c r="AI182" s="66"/>
      <c r="AJ182" s="54"/>
      <c r="AK182" s="54"/>
      <c r="AL182" s="54"/>
    </row>
    <row r="183" spans="1:38" hidden="1" outlineLevel="2" x14ac:dyDescent="0.25">
      <c r="A183" s="54"/>
      <c r="B183" s="63"/>
      <c r="C183" s="99">
        <f>INT($C$153)+2</f>
        <v>3</v>
      </c>
      <c r="D183" s="84"/>
      <c r="E183" s="79"/>
      <c r="F183" s="79"/>
      <c r="G183" s="84"/>
      <c r="H183" s="197" t="s">
        <v>339</v>
      </c>
      <c r="I183" s="108" t="s">
        <v>340</v>
      </c>
      <c r="J183" s="91">
        <v>8</v>
      </c>
      <c r="K183" s="91">
        <v>8</v>
      </c>
      <c r="L183" s="91"/>
      <c r="M183" s="107"/>
      <c r="N183" s="107"/>
      <c r="O183" s="87"/>
      <c r="P183" s="117"/>
      <c r="Q183" s="107" t="s">
        <v>341</v>
      </c>
      <c r="R183" s="107"/>
      <c r="S183" s="107"/>
      <c r="T183" s="107"/>
      <c r="U183" s="107"/>
      <c r="V183" s="87"/>
      <c r="W183" s="87"/>
      <c r="X183" s="107" t="s">
        <v>342</v>
      </c>
      <c r="Y183" s="107"/>
      <c r="Z183" s="107"/>
      <c r="AA183" s="107"/>
      <c r="AB183" s="107"/>
      <c r="AC183" s="117"/>
      <c r="AD183" s="117"/>
      <c r="AE183" s="117"/>
      <c r="AF183" s="117"/>
      <c r="AG183" s="117"/>
      <c r="AH183" s="84"/>
      <c r="AI183" s="66"/>
      <c r="AJ183" s="54"/>
      <c r="AK183" s="54"/>
      <c r="AL183" s="54"/>
    </row>
    <row r="184" spans="1:38" hidden="1" outlineLevel="2" x14ac:dyDescent="0.25">
      <c r="A184" s="54"/>
      <c r="B184" s="63"/>
      <c r="C184" s="99">
        <f>INT($C$153)+2</f>
        <v>3</v>
      </c>
      <c r="D184" s="84"/>
      <c r="E184" s="79">
        <v>0</v>
      </c>
      <c r="F184" s="79">
        <f>E184</f>
        <v>0</v>
      </c>
      <c r="G184" s="84"/>
      <c r="H184" s="108" t="str">
        <f>INDEX($H$169:$H$176,$E184+1,1)</f>
        <v>Prime Lamb grid (0)</v>
      </c>
      <c r="I184" s="198">
        <v>10</v>
      </c>
      <c r="J184" s="199">
        <v>3.6</v>
      </c>
      <c r="K184" s="157">
        <v>5</v>
      </c>
      <c r="L184" s="157">
        <v>5</v>
      </c>
      <c r="M184" s="157">
        <v>5</v>
      </c>
      <c r="N184" s="200">
        <v>3.6</v>
      </c>
      <c r="O184" s="201">
        <v>0</v>
      </c>
      <c r="P184" s="202"/>
      <c r="Q184" s="203">
        <f>SQRT(J184*MAX($J184:$N184)/(MAX(J184:J190)*MAX($J184:$N190)))</f>
        <v>0.74261065723250574</v>
      </c>
      <c r="R184" s="204">
        <f>SQRT(K184*MAX($J184:$N184)/(MAX(K184:K190)*MAX($J184:$N190)))</f>
        <v>0.73529411764705888</v>
      </c>
      <c r="S184" s="204">
        <f>SQRT(L184*MAX($J184:$N184)/(MAX(L184:L190)*MAX($J184:$N190)))</f>
        <v>0.73529411764705888</v>
      </c>
      <c r="T184" s="204">
        <f>SQRT(M184*MAX($J184:$N184)/(MAX(M184:M190)*MAX($J184:$N190)))</f>
        <v>0.73529411764705888</v>
      </c>
      <c r="U184" s="205">
        <f>SQRT(N184*MAX($J184:$N184)/(MAX(N184:N190)*MAX($J184:$N190)))</f>
        <v>0.85749292571254421</v>
      </c>
      <c r="V184" s="206">
        <v>0</v>
      </c>
      <c r="W184" s="202"/>
      <c r="X184" s="207">
        <f>SQRT(J184*MAX(J184:J190)/(MAX($J184:$N184)*MAX($J184:$N190)))</f>
        <v>0.7129062309432056</v>
      </c>
      <c r="Y184" s="208">
        <f>SQRT(K184*MAX(K184:K190)/(MAX($J184:$N184)*MAX($J184:$N190)))</f>
        <v>1</v>
      </c>
      <c r="Z184" s="208">
        <f>SQRT(L184*MAX(L184:L190)/(MAX($J184:$N184)*MAX($J184:$N190)))</f>
        <v>1</v>
      </c>
      <c r="AA184" s="208">
        <f>SQRT(M184*MAX(M184:M190)/(MAX($J184:$N184)*MAX($J184:$N190)))</f>
        <v>1</v>
      </c>
      <c r="AB184" s="209">
        <f>SQRT(N184*MAX(N184:N190)/(MAX($J184:$N184)*MAX($J184:$N190)))</f>
        <v>0.61739490651303186</v>
      </c>
      <c r="AC184" s="206">
        <v>0</v>
      </c>
      <c r="AD184" s="87"/>
      <c r="AE184" s="87"/>
      <c r="AF184" s="87"/>
      <c r="AG184" s="87"/>
      <c r="AH184" s="84"/>
      <c r="AI184" s="66"/>
      <c r="AJ184" s="54"/>
      <c r="AK184" s="54"/>
      <c r="AL184" s="54"/>
    </row>
    <row r="185" spans="1:38" hidden="1" outlineLevel="3" x14ac:dyDescent="0.25">
      <c r="A185" s="54"/>
      <c r="B185" s="63"/>
      <c r="C185" s="99">
        <f t="shared" ref="C185:C191" si="29">INT($C$153)+3</f>
        <v>4</v>
      </c>
      <c r="D185" s="84"/>
      <c r="E185" s="79">
        <f>E184</f>
        <v>0</v>
      </c>
      <c r="F185" s="79">
        <f>F184</f>
        <v>0</v>
      </c>
      <c r="G185" s="84"/>
      <c r="H185" s="210" t="str">
        <f>INDEX($M$161:$M$163,INDEX(i_salep_price_type_s7,$F185+1,1)+1,1)&amp;INDEX($L$161:$L$163,INDEX(ia_s8_s7,$F185+1,1)+1,1)</f>
        <v>$/kg DW, DW - Fat score</v>
      </c>
      <c r="I185" s="198">
        <v>16.100000000000001</v>
      </c>
      <c r="J185" s="211">
        <v>4.4000000000000004</v>
      </c>
      <c r="K185" s="111">
        <v>5.6</v>
      </c>
      <c r="L185" s="111">
        <v>5.6</v>
      </c>
      <c r="M185" s="111">
        <v>5.6</v>
      </c>
      <c r="N185" s="212">
        <v>3.6</v>
      </c>
      <c r="O185" s="201">
        <v>0</v>
      </c>
      <c r="P185" s="202"/>
      <c r="Q185" s="213">
        <f>SQRT(J185*MAX($J185:$N185)/(MAX(J184:J190)*MAX($J184:$N190)))</f>
        <v>0.86885094278841279</v>
      </c>
      <c r="R185" s="214">
        <f>SQRT(K185*MAX($J185:$N185)/(MAX(K184:K190)*MAX($J184:$N190)))</f>
        <v>0.82352941176470584</v>
      </c>
      <c r="S185" s="214">
        <f>SQRT(L185*MAX($J185:$N185)/(MAX(L184:L190)*MAX($J184:$N190)))</f>
        <v>0.82352941176470584</v>
      </c>
      <c r="T185" s="214">
        <f>SQRT(M185*MAX($J185:$N185)/(MAX(M184:M190)*MAX($J184:$N190)))</f>
        <v>0.82352941176470584</v>
      </c>
      <c r="U185" s="215">
        <f>SQRT(N185*MAX($J185:$N185)/(MAX(N184:N190)*MAX($J184:$N190)))</f>
        <v>0.90748521297303009</v>
      </c>
      <c r="V185" s="206">
        <v>0</v>
      </c>
      <c r="W185" s="202"/>
      <c r="X185" s="216">
        <f>SQRT(J185*MAX(J184:J190)/(MAX($J185:$N185)*MAX($J184:$N190)))</f>
        <v>0.74472937953292528</v>
      </c>
      <c r="Y185" s="217">
        <f>SQRT(K185*MAX(K184:K190)/(MAX($J185:$N185)*MAX($J184:$N190)))</f>
        <v>1</v>
      </c>
      <c r="Z185" s="217">
        <f>SQRT(L185*MAX(L184:L190)/(MAX($J185:$N185)*MAX($J184:$N190)))</f>
        <v>1</v>
      </c>
      <c r="AA185" s="217">
        <f>SQRT(M185*MAX(M184:M190)/(MAX($J185:$N185)*MAX($J184:$N190)))</f>
        <v>1</v>
      </c>
      <c r="AB185" s="218">
        <f>SQRT(N185*MAX(N184:N190)/(MAX($J185:$N185)*MAX($J184:$N190)))</f>
        <v>0.58338335119694795</v>
      </c>
      <c r="AC185" s="206">
        <v>0</v>
      </c>
      <c r="AD185" s="87"/>
      <c r="AE185" s="87"/>
      <c r="AF185" s="87"/>
      <c r="AG185" s="87"/>
      <c r="AH185" s="84"/>
      <c r="AI185" s="66"/>
      <c r="AJ185" s="54"/>
      <c r="AK185" s="54"/>
      <c r="AL185" s="54"/>
    </row>
    <row r="186" spans="1:38" hidden="1" outlineLevel="3" x14ac:dyDescent="0.25">
      <c r="A186" s="54"/>
      <c r="B186" s="63"/>
      <c r="C186" s="99">
        <f t="shared" si="29"/>
        <v>4</v>
      </c>
      <c r="D186" s="84"/>
      <c r="E186" s="79">
        <f t="shared" ref="E186:F191" si="30">E185</f>
        <v>0</v>
      </c>
      <c r="F186" s="79">
        <f t="shared" si="30"/>
        <v>0</v>
      </c>
      <c r="G186" s="84"/>
      <c r="H186" s="109" t="s">
        <v>343</v>
      </c>
      <c r="I186" s="198">
        <v>18.100000000000001</v>
      </c>
      <c r="J186" s="211">
        <v>4.8</v>
      </c>
      <c r="K186" s="111">
        <v>6.8</v>
      </c>
      <c r="L186" s="111">
        <v>6.8</v>
      </c>
      <c r="M186" s="111">
        <v>6.8</v>
      </c>
      <c r="N186" s="212">
        <v>3.6</v>
      </c>
      <c r="O186" s="201">
        <v>0</v>
      </c>
      <c r="P186" s="202"/>
      <c r="Q186" s="213">
        <f>SQRT(J186*MAX($J186:$N186)/(MAX(J184:J190)*MAX($J184:$N190)))</f>
        <v>1</v>
      </c>
      <c r="R186" s="214">
        <f>SQRT(K186*MAX($J186:$N186)/(MAX(K184:K190)*MAX($J184:$N190)))</f>
        <v>1</v>
      </c>
      <c r="S186" s="214">
        <f>SQRT(L186*MAX($J186:$N186)/(MAX(L184:L190)*MAX($J184:$N190)))</f>
        <v>1</v>
      </c>
      <c r="T186" s="214">
        <f>SQRT(M186*MAX($J186:$N186)/(MAX(M184:M190)*MAX($J184:$N190)))</f>
        <v>1</v>
      </c>
      <c r="U186" s="215">
        <f>SQRT(N186*MAX($J186:$N186)/(MAX(N184:N190)*MAX($J184:$N190)))</f>
        <v>1</v>
      </c>
      <c r="V186" s="206">
        <v>0</v>
      </c>
      <c r="W186" s="202"/>
      <c r="X186" s="216">
        <f>SQRT(J186*MAX(J184:J190)/(MAX($J186:$N186)*MAX($J184:$N190)))</f>
        <v>0.70588235294117652</v>
      </c>
      <c r="Y186" s="217">
        <f>SQRT(K186*MAX(K184:K190)/(MAX($J186:$N186)*MAX($J184:$N190)))</f>
        <v>1</v>
      </c>
      <c r="Z186" s="217">
        <f>SQRT(L186*MAX(L184:L190)/(MAX($J186:$N186)*MAX($J184:$N190)))</f>
        <v>1</v>
      </c>
      <c r="AA186" s="217">
        <f>SQRT(M186*MAX(M184:M190)/(MAX($J186:$N186)*MAX($J184:$N190)))</f>
        <v>1</v>
      </c>
      <c r="AB186" s="218">
        <f>SQRT(N186*MAX(N184:N190)/(MAX($J186:$N186)*MAX($J184:$N190)))</f>
        <v>0.52941176470588247</v>
      </c>
      <c r="AC186" s="206">
        <v>0</v>
      </c>
      <c r="AD186" s="87"/>
      <c r="AE186" s="87"/>
      <c r="AF186" s="87"/>
      <c r="AG186" s="87"/>
      <c r="AH186" s="84"/>
      <c r="AI186" s="66"/>
      <c r="AJ186" s="54"/>
      <c r="AK186" s="54"/>
      <c r="AL186" s="54"/>
    </row>
    <row r="187" spans="1:38" hidden="1" outlineLevel="3" x14ac:dyDescent="0.25">
      <c r="A187" s="54"/>
      <c r="B187" s="63"/>
      <c r="C187" s="99">
        <f t="shared" si="29"/>
        <v>4</v>
      </c>
      <c r="D187" s="84"/>
      <c r="E187" s="79">
        <f t="shared" si="30"/>
        <v>0</v>
      </c>
      <c r="F187" s="79">
        <f t="shared" si="30"/>
        <v>0</v>
      </c>
      <c r="G187" s="84"/>
      <c r="H187" s="109" t="s">
        <v>344</v>
      </c>
      <c r="I187" s="198">
        <v>28.1</v>
      </c>
      <c r="J187" s="211">
        <v>4.3</v>
      </c>
      <c r="K187" s="111">
        <v>5.3</v>
      </c>
      <c r="L187" s="111">
        <v>5.3</v>
      </c>
      <c r="M187" s="111">
        <v>5.3</v>
      </c>
      <c r="N187" s="212">
        <v>3.6</v>
      </c>
      <c r="O187" s="201">
        <v>0</v>
      </c>
      <c r="P187" s="202"/>
      <c r="Q187" s="213">
        <f>SQRT(J187*MAX($J187:$N187)/(MAX(J184:J190)*MAX($J184:$N190)))</f>
        <v>0.83559741455780379</v>
      </c>
      <c r="R187" s="214">
        <f>SQRT(K187*MAX($J187:$N187)/(MAX(K184:K190)*MAX($J184:$N190)))</f>
        <v>0.77941176470588236</v>
      </c>
      <c r="S187" s="214">
        <f>SQRT(L187*MAX($J187:$N187)/(MAX(L184:L190)*MAX($J184:$N190)))</f>
        <v>0.77941176470588236</v>
      </c>
      <c r="T187" s="214">
        <f>SQRT(M187*MAX($J187:$N187)/(MAX(M184:M190)*MAX($J184:$N190)))</f>
        <v>0.77941176470588236</v>
      </c>
      <c r="U187" s="215">
        <f>SQRT(N187*MAX($J187:$N187)/(MAX(N184:N190)*MAX($J184:$N190)))</f>
        <v>0.88284300116491965</v>
      </c>
      <c r="V187" s="206">
        <v>0</v>
      </c>
      <c r="W187" s="202"/>
      <c r="X187" s="216">
        <f>SQRT(J187*MAX(J184:J190)/(MAX($J187:$N187)*MAX($J184:$N190)))</f>
        <v>0.75676746978819964</v>
      </c>
      <c r="Y187" s="217">
        <f>SQRT(K187*MAX(K184:K190)/(MAX($J187:$N187)*MAX($J184:$N190)))</f>
        <v>1</v>
      </c>
      <c r="Z187" s="217">
        <f>SQRT(L187*MAX(L184:L190)/(MAX($J187:$N187)*MAX($J184:$N190)))</f>
        <v>1</v>
      </c>
      <c r="AA187" s="217">
        <f>SQRT(M187*MAX(M184:M190)/(MAX($J187:$N187)*MAX($J184:$N190)))</f>
        <v>1</v>
      </c>
      <c r="AB187" s="218">
        <f>SQRT(N187*MAX(N184:N190)/(MAX($J187:$N187)*MAX($J184:$N190)))</f>
        <v>0.59966694418749267</v>
      </c>
      <c r="AC187" s="206">
        <v>0</v>
      </c>
      <c r="AD187" s="87"/>
      <c r="AE187" s="87"/>
      <c r="AF187" s="87"/>
      <c r="AG187" s="87"/>
      <c r="AH187" s="84"/>
      <c r="AI187" s="66"/>
      <c r="AJ187" s="54"/>
      <c r="AK187" s="54"/>
      <c r="AL187" s="54"/>
    </row>
    <row r="188" spans="1:38" hidden="1" outlineLevel="3" x14ac:dyDescent="0.25">
      <c r="A188" s="54"/>
      <c r="B188" s="63"/>
      <c r="C188" s="99">
        <f t="shared" si="29"/>
        <v>4</v>
      </c>
      <c r="D188" s="84"/>
      <c r="E188" s="79">
        <f t="shared" si="30"/>
        <v>0</v>
      </c>
      <c r="F188" s="79">
        <f t="shared" si="30"/>
        <v>0</v>
      </c>
      <c r="G188" s="84"/>
      <c r="H188" s="87"/>
      <c r="I188" s="198">
        <v>31.1</v>
      </c>
      <c r="J188" s="211">
        <v>4</v>
      </c>
      <c r="K188" s="111">
        <v>5</v>
      </c>
      <c r="L188" s="111">
        <v>5</v>
      </c>
      <c r="M188" s="111">
        <v>5</v>
      </c>
      <c r="N188" s="212">
        <v>3.6</v>
      </c>
      <c r="O188" s="201">
        <v>0</v>
      </c>
      <c r="P188" s="202"/>
      <c r="Q188" s="213">
        <f>SQRT(J188*MAX($J188:$N188)/(MAX(J184:J190)*MAX($J184:$N190)))</f>
        <v>0.7827803638564369</v>
      </c>
      <c r="R188" s="214">
        <f>SQRT(K188*MAX($J188:$N188)/(MAX(K184:K190)*MAX($J184:$N190)))</f>
        <v>0.73529411764705888</v>
      </c>
      <c r="S188" s="214">
        <f>SQRT(L188*MAX($J188:$N188)/(MAX(L184:L190)*MAX($J184:$N190)))</f>
        <v>0.73529411764705888</v>
      </c>
      <c r="T188" s="214">
        <f>SQRT(M188*MAX($J188:$N188)/(MAX(M184:M190)*MAX($J184:$N190)))</f>
        <v>0.73529411764705888</v>
      </c>
      <c r="U188" s="215">
        <f>SQRT(N188*MAX($J188:$N188)/(MAX(N184:N190)*MAX($J184:$N190)))</f>
        <v>0.85749292571254421</v>
      </c>
      <c r="V188" s="206">
        <v>0</v>
      </c>
      <c r="W188" s="202"/>
      <c r="X188" s="216">
        <f>SQRT(J188*MAX(J184:J190)/(MAX($J188:$N188)*MAX($J184:$N190)))</f>
        <v>0.75146914930217934</v>
      </c>
      <c r="Y188" s="217">
        <f>SQRT(K188*MAX(K184:K190)/(MAX($J188:$N188)*MAX($J184:$N190)))</f>
        <v>1</v>
      </c>
      <c r="Z188" s="217">
        <f>SQRT(L188*MAX(L184:L190)/(MAX($J188:$N188)*MAX($J184:$N190)))</f>
        <v>1</v>
      </c>
      <c r="AA188" s="217">
        <f>SQRT(M188*MAX(M184:M190)/(MAX($J188:$N188)*MAX($J184:$N190)))</f>
        <v>1</v>
      </c>
      <c r="AB188" s="218">
        <f>SQRT(N188*MAX(N184:N190)/(MAX($J188:$N188)*MAX($J184:$N190)))</f>
        <v>0.61739490651303186</v>
      </c>
      <c r="AC188" s="206">
        <v>0</v>
      </c>
      <c r="AD188" s="87"/>
      <c r="AE188" s="87"/>
      <c r="AF188" s="87"/>
      <c r="AG188" s="87"/>
      <c r="AH188" s="84"/>
      <c r="AI188" s="66"/>
      <c r="AJ188" s="54"/>
      <c r="AK188" s="54"/>
      <c r="AL188" s="54"/>
    </row>
    <row r="189" spans="1:38" hidden="1" outlineLevel="3" x14ac:dyDescent="0.25">
      <c r="A189" s="54"/>
      <c r="B189" s="63"/>
      <c r="C189" s="99">
        <f t="shared" si="29"/>
        <v>4</v>
      </c>
      <c r="D189" s="84"/>
      <c r="E189" s="79">
        <f t="shared" si="30"/>
        <v>0</v>
      </c>
      <c r="F189" s="79">
        <f t="shared" si="30"/>
        <v>0</v>
      </c>
      <c r="G189" s="84"/>
      <c r="H189" s="87"/>
      <c r="I189" s="198">
        <f t="shared" ref="I189:N190" si="31">I188</f>
        <v>31.1</v>
      </c>
      <c r="J189" s="211">
        <f t="shared" si="31"/>
        <v>4</v>
      </c>
      <c r="K189" s="111">
        <f t="shared" si="31"/>
        <v>5</v>
      </c>
      <c r="L189" s="111">
        <f t="shared" si="31"/>
        <v>5</v>
      </c>
      <c r="M189" s="111">
        <f t="shared" si="31"/>
        <v>5</v>
      </c>
      <c r="N189" s="212">
        <f t="shared" si="31"/>
        <v>3.6</v>
      </c>
      <c r="O189" s="201">
        <v>0</v>
      </c>
      <c r="P189" s="202"/>
      <c r="Q189" s="213">
        <f>SQRT(J189*MAX($J189:$N189)/(MAX(J184:J190)*MAX($J184:$N190)))</f>
        <v>0.7827803638564369</v>
      </c>
      <c r="R189" s="214">
        <f>SQRT(K189*MAX($J189:$N189)/(MAX(K184:K190)*MAX($J184:$N190)))</f>
        <v>0.73529411764705888</v>
      </c>
      <c r="S189" s="214">
        <f>SQRT(L189*MAX($J189:$N189)/(MAX(L184:L190)*MAX($J184:$N190)))</f>
        <v>0.73529411764705888</v>
      </c>
      <c r="T189" s="214">
        <f>SQRT(M189*MAX($J189:$N189)/(MAX(M184:M190)*MAX($J184:$N190)))</f>
        <v>0.73529411764705888</v>
      </c>
      <c r="U189" s="215">
        <f>SQRT(N189*MAX($J189:$N189)/(MAX(N184:N190)*MAX($J184:$N190)))</f>
        <v>0.85749292571254421</v>
      </c>
      <c r="V189" s="206">
        <v>0</v>
      </c>
      <c r="W189" s="202"/>
      <c r="X189" s="216">
        <f>SQRT(J189*MAX(J184:J190)/(MAX($J189:$N189)*MAX($J184:$N190)))</f>
        <v>0.75146914930217934</v>
      </c>
      <c r="Y189" s="217">
        <f>SQRT(K189*MAX(K184:K190)/(MAX($J189:$N189)*MAX($J184:$N190)))</f>
        <v>1</v>
      </c>
      <c r="Z189" s="217">
        <f>SQRT(L189*MAX(L184:L190)/(MAX($J189:$N189)*MAX($J184:$N190)))</f>
        <v>1</v>
      </c>
      <c r="AA189" s="217">
        <f>SQRT(M189*MAX(M184:M190)/(MAX($J189:$N189)*MAX($J184:$N190)))</f>
        <v>1</v>
      </c>
      <c r="AB189" s="218">
        <f>SQRT(N189*MAX(N184:N190)/(MAX($J189:$N189)*MAX($J184:$N190)))</f>
        <v>0.61739490651303186</v>
      </c>
      <c r="AC189" s="206">
        <v>0</v>
      </c>
      <c r="AD189" s="87"/>
      <c r="AE189" s="87"/>
      <c r="AF189" s="87"/>
      <c r="AG189" s="87"/>
      <c r="AH189" s="84"/>
      <c r="AI189" s="66"/>
      <c r="AJ189" s="54"/>
      <c r="AK189" s="54"/>
      <c r="AL189" s="54"/>
    </row>
    <row r="190" spans="1:38" hidden="1" outlineLevel="3" x14ac:dyDescent="0.25">
      <c r="A190" s="54"/>
      <c r="B190" s="63"/>
      <c r="C190" s="99">
        <f t="shared" si="29"/>
        <v>4</v>
      </c>
      <c r="D190" s="84"/>
      <c r="E190" s="79">
        <f t="shared" si="30"/>
        <v>0</v>
      </c>
      <c r="F190" s="79">
        <f t="shared" si="30"/>
        <v>0</v>
      </c>
      <c r="G190" s="84"/>
      <c r="H190" s="87"/>
      <c r="I190" s="198">
        <f t="shared" si="31"/>
        <v>31.1</v>
      </c>
      <c r="J190" s="219">
        <f t="shared" si="31"/>
        <v>4</v>
      </c>
      <c r="K190" s="188">
        <f t="shared" si="31"/>
        <v>5</v>
      </c>
      <c r="L190" s="188">
        <f t="shared" si="31"/>
        <v>5</v>
      </c>
      <c r="M190" s="188">
        <f t="shared" si="31"/>
        <v>5</v>
      </c>
      <c r="N190" s="220">
        <f t="shared" si="31"/>
        <v>3.6</v>
      </c>
      <c r="O190" s="201">
        <v>0</v>
      </c>
      <c r="P190" s="202"/>
      <c r="Q190" s="221">
        <f>SQRT(J190*MAX($J190:$N190)/(MAX(J184:J190)*MAX($J184:$N190)))</f>
        <v>0.7827803638564369</v>
      </c>
      <c r="R190" s="222">
        <f>SQRT(K190*MAX($J190:$N190)/(MAX(K184:K190)*MAX($J184:$N190)))</f>
        <v>0.73529411764705888</v>
      </c>
      <c r="S190" s="222">
        <f>SQRT(L190*MAX($J190:$N190)/(MAX(L184:L190)*MAX($J184:$N190)))</f>
        <v>0.73529411764705888</v>
      </c>
      <c r="T190" s="222">
        <f>SQRT(M190*MAX($J190:$N190)/(MAX(M184:M190)*MAX($J184:$N190)))</f>
        <v>0.73529411764705888</v>
      </c>
      <c r="U190" s="223">
        <f>SQRT(N190*MAX($J190:$N190)/(MAX(N184:N190)*MAX($J184:$N190)))</f>
        <v>0.85749292571254421</v>
      </c>
      <c r="V190" s="206">
        <v>0</v>
      </c>
      <c r="W190" s="202"/>
      <c r="X190" s="224">
        <f>SQRT(J190*MAX(J184:J190)/(MAX($J190:$N190)*MAX($J184:$N190)))</f>
        <v>0.75146914930217934</v>
      </c>
      <c r="Y190" s="225">
        <f>SQRT(K190*MAX(K184:K190)/(MAX($J190:$N190)*MAX($J184:$N190)))</f>
        <v>1</v>
      </c>
      <c r="Z190" s="225">
        <f>SQRT(L190*MAX(L184:L190)/(MAX($J190:$N190)*MAX($J184:$N190)))</f>
        <v>1</v>
      </c>
      <c r="AA190" s="225">
        <f>SQRT(M190*MAX(M184:M190)/(MAX($J190:$N190)*MAX($J184:$N190)))</f>
        <v>1</v>
      </c>
      <c r="AB190" s="226">
        <f>SQRT(N190*MAX(N184:N190)/(MAX($J190:$N190)*MAX($J184:$N190)))</f>
        <v>0.61739490651303186</v>
      </c>
      <c r="AC190" s="206">
        <v>0</v>
      </c>
      <c r="AD190" s="87"/>
      <c r="AE190" s="87"/>
      <c r="AF190" s="87"/>
      <c r="AG190" s="87"/>
      <c r="AH190" s="84"/>
      <c r="AI190" s="66"/>
      <c r="AJ190" s="54"/>
      <c r="AK190" s="54"/>
      <c r="AL190" s="54"/>
    </row>
    <row r="191" spans="1:38" hidden="1" outlineLevel="3" x14ac:dyDescent="0.25">
      <c r="A191" s="54"/>
      <c r="B191" s="63"/>
      <c r="C191" s="99">
        <f t="shared" si="29"/>
        <v>4</v>
      </c>
      <c r="D191" s="84"/>
      <c r="E191" s="79">
        <f t="shared" si="30"/>
        <v>0</v>
      </c>
      <c r="F191" s="79">
        <f t="shared" si="30"/>
        <v>0</v>
      </c>
      <c r="G191" s="84"/>
      <c r="H191" s="87"/>
      <c r="I191" s="108">
        <v>1000</v>
      </c>
      <c r="J191" s="227">
        <v>0</v>
      </c>
      <c r="K191" s="227">
        <v>0</v>
      </c>
      <c r="L191" s="227">
        <v>0</v>
      </c>
      <c r="M191" s="227">
        <v>0</v>
      </c>
      <c r="N191" s="227">
        <v>0</v>
      </c>
      <c r="O191" s="108">
        <v>0</v>
      </c>
      <c r="P191" s="87"/>
      <c r="Q191" s="228">
        <v>0</v>
      </c>
      <c r="R191" s="228">
        <v>0</v>
      </c>
      <c r="S191" s="228">
        <v>0</v>
      </c>
      <c r="T191" s="228">
        <v>0</v>
      </c>
      <c r="U191" s="228">
        <v>0</v>
      </c>
      <c r="V191" s="91">
        <v>0</v>
      </c>
      <c r="W191" s="87"/>
      <c r="X191" s="228">
        <v>0</v>
      </c>
      <c r="Y191" s="228">
        <v>0</v>
      </c>
      <c r="Z191" s="228">
        <v>0</v>
      </c>
      <c r="AA191" s="228">
        <v>0</v>
      </c>
      <c r="AB191" s="228">
        <v>0</v>
      </c>
      <c r="AC191" s="91">
        <v>0</v>
      </c>
      <c r="AD191" s="87"/>
      <c r="AE191" s="87"/>
      <c r="AF191" s="87"/>
      <c r="AG191" s="87"/>
      <c r="AH191" s="84"/>
      <c r="AI191" s="66"/>
      <c r="AJ191" s="54"/>
      <c r="AK191" s="54"/>
      <c r="AL191" s="54"/>
    </row>
    <row r="192" spans="1:38" hidden="1" outlineLevel="2" x14ac:dyDescent="0.25">
      <c r="A192" s="54"/>
      <c r="B192" s="63"/>
      <c r="C192" s="99">
        <f>INT($C$153)+2</f>
        <v>3</v>
      </c>
      <c r="D192" s="84"/>
      <c r="E192" s="79">
        <v>1</v>
      </c>
      <c r="F192" s="79">
        <f>E192</f>
        <v>1</v>
      </c>
      <c r="G192" s="84"/>
      <c r="H192" s="108" t="str">
        <f>INDEX($H$169:$H$176,$E192+1,1)</f>
        <v>Air freight lamb grid (1)</v>
      </c>
      <c r="I192" s="198">
        <v>10</v>
      </c>
      <c r="J192" s="199">
        <v>1</v>
      </c>
      <c r="K192" s="157">
        <v>2</v>
      </c>
      <c r="L192" s="157">
        <v>2</v>
      </c>
      <c r="M192" s="157">
        <v>2</v>
      </c>
      <c r="N192" s="200">
        <v>1</v>
      </c>
      <c r="O192" s="201">
        <v>0</v>
      </c>
      <c r="P192" s="202"/>
      <c r="Q192" s="203">
        <f>SQRT(J192*MAX($J192:$N192)/(MAX(J192:J198)*MAX($J192:$N198)))</f>
        <v>0.23782574707724705</v>
      </c>
      <c r="R192" s="204">
        <f>SQRT(K192*MAX($J192:$N192)/(MAX(K192:K198)*MAX($J192:$N198)))</f>
        <v>0.29411764705882354</v>
      </c>
      <c r="S192" s="204">
        <f>SQRT(L192*MAX($J192:$N192)/(MAX(L192:L198)*MAX($J192:$N198)))</f>
        <v>0.29411764705882354</v>
      </c>
      <c r="T192" s="204">
        <f>SQRT(M192*MAX($J192:$N192)/(MAX(M192:M198)*MAX($J192:$N198)))</f>
        <v>0.29411764705882354</v>
      </c>
      <c r="U192" s="205">
        <f>SQRT(N192*MAX($J192:$N192)/(MAX(N192:N198)*MAX($J192:$N198)))</f>
        <v>0.23782574707724705</v>
      </c>
      <c r="V192" s="206">
        <v>0</v>
      </c>
      <c r="W192" s="202"/>
      <c r="X192" s="207">
        <f>SQRT(J192*MAX(J192:J198)/(MAX($J192:$N192)*MAX($J192:$N198)))</f>
        <v>0.61834694240084231</v>
      </c>
      <c r="Y192" s="208">
        <f>SQRT(K192*MAX(K192:K198)/(MAX($J192:$N192)*MAX($J192:$N198)))</f>
        <v>1</v>
      </c>
      <c r="Z192" s="208">
        <f>SQRT(L192*MAX(L192:L198)/(MAX($J192:$N192)*MAX($J192:$N198)))</f>
        <v>1</v>
      </c>
      <c r="AA192" s="208">
        <f>SQRT(M192*MAX(M192:M198)/(MAX($J192:$N192)*MAX($J192:$N198)))</f>
        <v>1</v>
      </c>
      <c r="AB192" s="209">
        <f>SQRT(N192*MAX(N192:N198)/(MAX($J192:$N192)*MAX($J192:$N198)))</f>
        <v>0.61834694240084231</v>
      </c>
      <c r="AC192" s="206">
        <v>0</v>
      </c>
      <c r="AD192" s="87"/>
      <c r="AE192" s="87"/>
      <c r="AF192" s="87"/>
      <c r="AG192" s="87"/>
      <c r="AH192" s="84"/>
      <c r="AI192" s="66"/>
      <c r="AJ192" s="54"/>
      <c r="AK192" s="54"/>
      <c r="AL192" s="54"/>
    </row>
    <row r="193" spans="1:38" hidden="1" outlineLevel="3" x14ac:dyDescent="0.25">
      <c r="A193" s="54"/>
      <c r="B193" s="63"/>
      <c r="C193" s="99">
        <f t="shared" ref="C193:C199" si="32">INT($C$153)+3</f>
        <v>4</v>
      </c>
      <c r="D193" s="84"/>
      <c r="E193" s="79"/>
      <c r="F193" s="79">
        <f t="shared" ref="F193:F247" si="33">F192</f>
        <v>1</v>
      </c>
      <c r="G193" s="84"/>
      <c r="H193" s="210" t="str">
        <f>INDEX($M$161:$M$163,INDEX(i_salep_price_type_s7,$F193+1,1)+1,1)&amp;INDEX($L$161:$L$163,INDEX(ia_s8_s7,$F193+1,1)+1,1)</f>
        <v>$/kg DW, DW - Fat score</v>
      </c>
      <c r="I193" s="198">
        <v>14.1</v>
      </c>
      <c r="J193" s="211">
        <v>3</v>
      </c>
      <c r="K193" s="111">
        <v>5.5</v>
      </c>
      <c r="L193" s="111">
        <v>5.5</v>
      </c>
      <c r="M193" s="111">
        <v>5.5</v>
      </c>
      <c r="N193" s="212">
        <v>3</v>
      </c>
      <c r="O193" s="201">
        <v>0</v>
      </c>
      <c r="P193" s="202"/>
      <c r="Q193" s="213">
        <f>SQRT(J193*MAX($J193:$N193)/(MAX(J192:J198)*MAX($J192:$N198)))</f>
        <v>0.68310245152247706</v>
      </c>
      <c r="R193" s="214">
        <f>SQRT(K193*MAX($J193:$N193)/(MAX(K192:K198)*MAX($J192:$N198)))</f>
        <v>0.80882352941176472</v>
      </c>
      <c r="S193" s="214">
        <f>SQRT(L193*MAX($J193:$N193)/(MAX(L192:L198)*MAX($J192:$N198)))</f>
        <v>0.80882352941176472</v>
      </c>
      <c r="T193" s="214">
        <f>SQRT(M193*MAX($J193:$N193)/(MAX(M192:M198)*MAX($J192:$N198)))</f>
        <v>0.80882352941176472</v>
      </c>
      <c r="U193" s="215">
        <f>SQRT(N193*MAX($J193:$N193)/(MAX(N192:N198)*MAX($J192:$N198)))</f>
        <v>0.68310245152247706</v>
      </c>
      <c r="V193" s="206">
        <v>0</v>
      </c>
      <c r="W193" s="202"/>
      <c r="X193" s="216">
        <f>SQRT(J193*MAX(J192:J198)/(MAX($J193:$N193)*MAX($J192:$N198)))</f>
        <v>0.64584231780306922</v>
      </c>
      <c r="Y193" s="217">
        <f>SQRT(K193*MAX(K192:K198)/(MAX($J193:$N193)*MAX($J192:$N198)))</f>
        <v>1</v>
      </c>
      <c r="Z193" s="217">
        <f>SQRT(L193*MAX(L192:L198)/(MAX($J193:$N193)*MAX($J192:$N198)))</f>
        <v>1</v>
      </c>
      <c r="AA193" s="217">
        <f>SQRT(M193*MAX(M192:M198)/(MAX($J193:$N193)*MAX($J192:$N198)))</f>
        <v>1</v>
      </c>
      <c r="AB193" s="218">
        <f>SQRT(N193*MAX(N192:N198)/(MAX($J193:$N193)*MAX($J192:$N198)))</f>
        <v>0.64584231780306922</v>
      </c>
      <c r="AC193" s="206">
        <v>0</v>
      </c>
      <c r="AD193" s="87"/>
      <c r="AE193" s="87"/>
      <c r="AF193" s="87"/>
      <c r="AG193" s="87"/>
      <c r="AH193" s="84"/>
      <c r="AI193" s="66"/>
      <c r="AJ193" s="54"/>
      <c r="AK193" s="54"/>
      <c r="AL193" s="54"/>
    </row>
    <row r="194" spans="1:38" hidden="1" outlineLevel="3" x14ac:dyDescent="0.25">
      <c r="A194" s="54"/>
      <c r="B194" s="63"/>
      <c r="C194" s="99">
        <f t="shared" si="32"/>
        <v>4</v>
      </c>
      <c r="D194" s="84"/>
      <c r="E194" s="79"/>
      <c r="F194" s="79">
        <f t="shared" si="33"/>
        <v>1</v>
      </c>
      <c r="G194" s="84"/>
      <c r="H194" s="109"/>
      <c r="I194" s="198">
        <v>17.100000000000001</v>
      </c>
      <c r="J194" s="211">
        <v>5</v>
      </c>
      <c r="K194" s="111">
        <v>6</v>
      </c>
      <c r="L194" s="111">
        <v>6</v>
      </c>
      <c r="M194" s="111">
        <v>6</v>
      </c>
      <c r="N194" s="212">
        <v>5</v>
      </c>
      <c r="O194" s="201">
        <v>0</v>
      </c>
      <c r="P194" s="202"/>
      <c r="Q194" s="213">
        <f>SQRT(J194*MAX($J194:$N194)/(MAX(J192:J198)*MAX($J192:$N198)))</f>
        <v>0.921095157729515</v>
      </c>
      <c r="R194" s="214">
        <f>SQRT(K194*MAX($J194:$N194)/(MAX(K192:K198)*MAX($J192:$N198)))</f>
        <v>0.88235294117647056</v>
      </c>
      <c r="S194" s="214">
        <f>SQRT(L194*MAX($J194:$N194)/(MAX(L192:L198)*MAX($J192:$N198)))</f>
        <v>0.88235294117647056</v>
      </c>
      <c r="T194" s="214">
        <f>SQRT(M194*MAX($J194:$N194)/(MAX(M192:M198)*MAX($J192:$N198)))</f>
        <v>0.88235294117647056</v>
      </c>
      <c r="U194" s="215">
        <f>SQRT(N194*MAX($J194:$N194)/(MAX(N192:N198)*MAX($J192:$N198)))</f>
        <v>0.921095157729515</v>
      </c>
      <c r="V194" s="206">
        <v>0</v>
      </c>
      <c r="W194" s="202"/>
      <c r="X194" s="216">
        <f>SQRT(J194*MAX(J192:J198)/(MAX($J194:$N194)*MAX($J192:$N198)))</f>
        <v>0.79828247003224639</v>
      </c>
      <c r="Y194" s="217">
        <f>SQRT(K194*MAX(K192:K198)/(MAX($J194:$N194)*MAX($J192:$N198)))</f>
        <v>1</v>
      </c>
      <c r="Z194" s="217">
        <f>SQRT(L194*MAX(L192:L198)/(MAX($J194:$N194)*MAX($J192:$N198)))</f>
        <v>1</v>
      </c>
      <c r="AA194" s="217">
        <f>SQRT(M194*MAX(M192:M198)/(MAX($J194:$N194)*MAX($J192:$N198)))</f>
        <v>1</v>
      </c>
      <c r="AB194" s="218">
        <f>SQRT(N194*MAX(N192:N198)/(MAX($J194:$N194)*MAX($J192:$N198)))</f>
        <v>0.79828247003224639</v>
      </c>
      <c r="AC194" s="206">
        <v>0</v>
      </c>
      <c r="AD194" s="87"/>
      <c r="AE194" s="87"/>
      <c r="AF194" s="87"/>
      <c r="AG194" s="87"/>
      <c r="AH194" s="84"/>
      <c r="AI194" s="66"/>
      <c r="AJ194" s="54"/>
      <c r="AK194" s="54"/>
      <c r="AL194" s="54"/>
    </row>
    <row r="195" spans="1:38" hidden="1" outlineLevel="3" x14ac:dyDescent="0.25">
      <c r="A195" s="54"/>
      <c r="B195" s="63"/>
      <c r="C195" s="99">
        <f t="shared" si="32"/>
        <v>4</v>
      </c>
      <c r="D195" s="84"/>
      <c r="E195" s="79"/>
      <c r="F195" s="79">
        <f t="shared" si="33"/>
        <v>1</v>
      </c>
      <c r="G195" s="84"/>
      <c r="H195" s="87"/>
      <c r="I195" s="198">
        <v>18.100000000000001</v>
      </c>
      <c r="J195" s="211">
        <v>5.2</v>
      </c>
      <c r="K195" s="111">
        <v>6.8</v>
      </c>
      <c r="L195" s="111">
        <v>6.8</v>
      </c>
      <c r="M195" s="111">
        <v>6.8</v>
      </c>
      <c r="N195" s="212">
        <v>5.2</v>
      </c>
      <c r="O195" s="201">
        <v>0</v>
      </c>
      <c r="P195" s="202"/>
      <c r="Q195" s="213">
        <f>SQRT(J195*MAX($J195:$N195)/(MAX(J192:J198)*MAX($J192:$N198)))</f>
        <v>1</v>
      </c>
      <c r="R195" s="214">
        <f>SQRT(K195*MAX($J195:$N195)/(MAX(K192:K198)*MAX($J192:$N198)))</f>
        <v>1</v>
      </c>
      <c r="S195" s="214">
        <f>SQRT(L195*MAX($J195:$N195)/(MAX(L192:L198)*MAX($J192:$N198)))</f>
        <v>1</v>
      </c>
      <c r="T195" s="214">
        <f>SQRT(M195*MAX($J195:$N195)/(MAX(M192:M198)*MAX($J192:$N198)))</f>
        <v>1</v>
      </c>
      <c r="U195" s="215">
        <f>SQRT(N195*MAX($J195:$N195)/(MAX(N192:N198)*MAX($J192:$N198)))</f>
        <v>1</v>
      </c>
      <c r="V195" s="206">
        <v>0</v>
      </c>
      <c r="W195" s="202"/>
      <c r="X195" s="216">
        <f>SQRT(J195*MAX(J192:J198)/(MAX($J195:$N195)*MAX($J192:$N198)))</f>
        <v>0.76470588235294124</v>
      </c>
      <c r="Y195" s="217">
        <f>SQRT(K195*MAX(K192:K198)/(MAX($J195:$N195)*MAX($J192:$N198)))</f>
        <v>1</v>
      </c>
      <c r="Z195" s="217">
        <f>SQRT(L195*MAX(L192:L198)/(MAX($J195:$N195)*MAX($J192:$N198)))</f>
        <v>1</v>
      </c>
      <c r="AA195" s="217">
        <f>SQRT(M195*MAX(M192:M198)/(MAX($J195:$N195)*MAX($J192:$N198)))</f>
        <v>1</v>
      </c>
      <c r="AB195" s="218">
        <f>SQRT(N195*MAX(N192:N198)/(MAX($J195:$N195)*MAX($J192:$N198)))</f>
        <v>0.76470588235294124</v>
      </c>
      <c r="AC195" s="206">
        <v>0</v>
      </c>
      <c r="AD195" s="87"/>
      <c r="AE195" s="87"/>
      <c r="AF195" s="87"/>
      <c r="AG195" s="87"/>
      <c r="AH195" s="84"/>
      <c r="AI195" s="66"/>
      <c r="AJ195" s="54"/>
      <c r="AK195" s="54"/>
      <c r="AL195" s="54"/>
    </row>
    <row r="196" spans="1:38" hidden="1" outlineLevel="3" x14ac:dyDescent="0.25">
      <c r="A196" s="54"/>
      <c r="B196" s="63"/>
      <c r="C196" s="99">
        <f t="shared" si="32"/>
        <v>4</v>
      </c>
      <c r="D196" s="84"/>
      <c r="E196" s="79"/>
      <c r="F196" s="79">
        <f t="shared" si="33"/>
        <v>1</v>
      </c>
      <c r="G196" s="84"/>
      <c r="H196" s="87"/>
      <c r="I196" s="198">
        <v>26.1</v>
      </c>
      <c r="J196" s="211">
        <v>5</v>
      </c>
      <c r="K196" s="111">
        <v>6.6</v>
      </c>
      <c r="L196" s="111">
        <v>6.6</v>
      </c>
      <c r="M196" s="111">
        <v>6.6</v>
      </c>
      <c r="N196" s="212">
        <v>5</v>
      </c>
      <c r="O196" s="201">
        <v>0</v>
      </c>
      <c r="P196" s="202"/>
      <c r="Q196" s="213">
        <f>SQRT(J196*MAX($J196:$N196)/(MAX(J192:J198)*MAX($J192:$N198)))</f>
        <v>0.96605275143339675</v>
      </c>
      <c r="R196" s="214">
        <f>SQRT(K196*MAX($J196:$N196)/(MAX(K192:K198)*MAX($J192:$N198)))</f>
        <v>0.97058823529411764</v>
      </c>
      <c r="S196" s="214">
        <f>SQRT(L196*MAX($J196:$N196)/(MAX(L192:L198)*MAX($J192:$N198)))</f>
        <v>0.97058823529411764</v>
      </c>
      <c r="T196" s="214">
        <f>SQRT(M196*MAX($J196:$N196)/(MAX(M192:M198)*MAX($J192:$N198)))</f>
        <v>0.97058823529411764</v>
      </c>
      <c r="U196" s="215">
        <f>SQRT(N196*MAX($J196:$N196)/(MAX(N192:N198)*MAX($J192:$N198)))</f>
        <v>0.96605275143339675</v>
      </c>
      <c r="V196" s="206">
        <v>0</v>
      </c>
      <c r="W196" s="202"/>
      <c r="X196" s="216">
        <f>SQRT(J196*MAX(J192:J198)/(MAX($J196:$N196)*MAX($J192:$N198)))</f>
        <v>0.76113247082631263</v>
      </c>
      <c r="Y196" s="217">
        <f>SQRT(K196*MAX(K192:K198)/(MAX($J196:$N196)*MAX($J192:$N198)))</f>
        <v>1</v>
      </c>
      <c r="Z196" s="217">
        <f>SQRT(L196*MAX(L192:L198)/(MAX($J196:$N196)*MAX($J192:$N198)))</f>
        <v>1</v>
      </c>
      <c r="AA196" s="217">
        <f>SQRT(M196*MAX(M192:M198)/(MAX($J196:$N196)*MAX($J192:$N198)))</f>
        <v>1</v>
      </c>
      <c r="AB196" s="218">
        <f>SQRT(N196*MAX(N192:N198)/(MAX($J196:$N196)*MAX($J192:$N198)))</f>
        <v>0.76113247082631263</v>
      </c>
      <c r="AC196" s="206">
        <v>0</v>
      </c>
      <c r="AD196" s="87"/>
      <c r="AE196" s="87"/>
      <c r="AF196" s="87"/>
      <c r="AG196" s="87"/>
      <c r="AH196" s="84"/>
      <c r="AI196" s="66"/>
      <c r="AJ196" s="54"/>
      <c r="AK196" s="54"/>
      <c r="AL196" s="54"/>
    </row>
    <row r="197" spans="1:38" hidden="1" outlineLevel="3" x14ac:dyDescent="0.25">
      <c r="A197" s="54"/>
      <c r="B197" s="63"/>
      <c r="C197" s="99">
        <f t="shared" si="32"/>
        <v>4</v>
      </c>
      <c r="D197" s="84"/>
      <c r="E197" s="79"/>
      <c r="F197" s="79">
        <f t="shared" si="33"/>
        <v>1</v>
      </c>
      <c r="G197" s="84"/>
      <c r="H197" s="87"/>
      <c r="I197" s="198">
        <v>28.1</v>
      </c>
      <c r="J197" s="211">
        <v>5</v>
      </c>
      <c r="K197" s="111">
        <v>6</v>
      </c>
      <c r="L197" s="111">
        <v>6</v>
      </c>
      <c r="M197" s="111">
        <v>6</v>
      </c>
      <c r="N197" s="212">
        <v>5</v>
      </c>
      <c r="O197" s="201">
        <v>0</v>
      </c>
      <c r="P197" s="202"/>
      <c r="Q197" s="213">
        <f>SQRT(J197*MAX($J197:$N197)/(MAX(J192:J198)*MAX($J192:$N198)))</f>
        <v>0.921095157729515</v>
      </c>
      <c r="R197" s="214">
        <f>SQRT(K197*MAX($J197:$N197)/(MAX(K192:K198)*MAX($J192:$N198)))</f>
        <v>0.88235294117647056</v>
      </c>
      <c r="S197" s="214">
        <f>SQRT(L197*MAX($J197:$N197)/(MAX(L192:L198)*MAX($J192:$N198)))</f>
        <v>0.88235294117647056</v>
      </c>
      <c r="T197" s="214">
        <f>SQRT(M197*MAX($J197:$N197)/(MAX(M192:M198)*MAX($J192:$N198)))</f>
        <v>0.88235294117647056</v>
      </c>
      <c r="U197" s="215">
        <f>SQRT(N197*MAX($J197:$N197)/(MAX(N192:N198)*MAX($J192:$N198)))</f>
        <v>0.921095157729515</v>
      </c>
      <c r="V197" s="206">
        <v>0</v>
      </c>
      <c r="W197" s="202"/>
      <c r="X197" s="216">
        <f>SQRT(J197*MAX(J192:J198)/(MAX($J197:$N197)*MAX($J192:$N198)))</f>
        <v>0.79828247003224639</v>
      </c>
      <c r="Y197" s="217">
        <f>SQRT(K197*MAX(K192:K198)/(MAX($J197:$N197)*MAX($J192:$N198)))</f>
        <v>1</v>
      </c>
      <c r="Z197" s="217">
        <f>SQRT(L197*MAX(L192:L198)/(MAX($J197:$N197)*MAX($J192:$N198)))</f>
        <v>1</v>
      </c>
      <c r="AA197" s="217">
        <f>SQRT(M197*MAX(M192:M198)/(MAX($J197:$N197)*MAX($J192:$N198)))</f>
        <v>1</v>
      </c>
      <c r="AB197" s="218">
        <f>SQRT(N197*MAX(N192:N198)/(MAX($J197:$N197)*MAX($J192:$N198)))</f>
        <v>0.79828247003224639</v>
      </c>
      <c r="AC197" s="206">
        <v>0</v>
      </c>
      <c r="AD197" s="87"/>
      <c r="AE197" s="87"/>
      <c r="AF197" s="87"/>
      <c r="AG197" s="87"/>
      <c r="AH197" s="84"/>
      <c r="AI197" s="66"/>
      <c r="AJ197" s="54"/>
      <c r="AK197" s="54"/>
      <c r="AL197" s="54"/>
    </row>
    <row r="198" spans="1:38" hidden="1" outlineLevel="3" x14ac:dyDescent="0.25">
      <c r="A198" s="54"/>
      <c r="B198" s="63"/>
      <c r="C198" s="99">
        <f t="shared" si="32"/>
        <v>4</v>
      </c>
      <c r="D198" s="84"/>
      <c r="E198" s="79"/>
      <c r="F198" s="79">
        <f t="shared" si="33"/>
        <v>1</v>
      </c>
      <c r="G198" s="84"/>
      <c r="H198" s="87"/>
      <c r="I198" s="198">
        <v>32</v>
      </c>
      <c r="J198" s="219">
        <v>4.8</v>
      </c>
      <c r="K198" s="188">
        <v>5.8</v>
      </c>
      <c r="L198" s="188">
        <v>5.8</v>
      </c>
      <c r="M198" s="188">
        <v>5.8</v>
      </c>
      <c r="N198" s="220">
        <v>4.8</v>
      </c>
      <c r="O198" s="201">
        <v>0</v>
      </c>
      <c r="P198" s="202"/>
      <c r="Q198" s="221">
        <f>SQRT(J198*MAX($J198:$N198)/(MAX(J192:J198)*MAX($J192:$N198)))</f>
        <v>0.887316356629405</v>
      </c>
      <c r="R198" s="222">
        <f>SQRT(K198*MAX($J198:$N198)/(MAX(K192:K198)*MAX($J192:$N198)))</f>
        <v>0.85294117647058831</v>
      </c>
      <c r="S198" s="222">
        <f>SQRT(L198*MAX($J198:$N198)/(MAX(L192:L198)*MAX($J192:$N198)))</f>
        <v>0.85294117647058831</v>
      </c>
      <c r="T198" s="222">
        <f>SQRT(M198*MAX($J198:$N198)/(MAX(M192:M198)*MAX($J192:$N198)))</f>
        <v>0.85294117647058831</v>
      </c>
      <c r="U198" s="223">
        <f>SQRT(N198*MAX($J198:$N198)/(MAX(N192:N198)*MAX($J192:$N198)))</f>
        <v>0.887316356629405</v>
      </c>
      <c r="V198" s="206">
        <v>0</v>
      </c>
      <c r="W198" s="202"/>
      <c r="X198" s="224">
        <f>SQRT(J198*MAX(J192:J198)/(MAX($J198:$N198)*MAX($J192:$N198)))</f>
        <v>0.79552500939188042</v>
      </c>
      <c r="Y198" s="225">
        <f>SQRT(K198*MAX(K192:K198)/(MAX($J198:$N198)*MAX($J192:$N198)))</f>
        <v>1</v>
      </c>
      <c r="Z198" s="225">
        <f>SQRT(L198*MAX(L192:L198)/(MAX($J198:$N198)*MAX($J192:$N198)))</f>
        <v>1</v>
      </c>
      <c r="AA198" s="225">
        <f>SQRT(M198*MAX(M192:M198)/(MAX($J198:$N198)*MAX($J192:$N198)))</f>
        <v>1</v>
      </c>
      <c r="AB198" s="226">
        <f>SQRT(N198*MAX(N192:N198)/(MAX($J198:$N198)*MAX($J192:$N198)))</f>
        <v>0.79552500939188042</v>
      </c>
      <c r="AC198" s="206">
        <v>0</v>
      </c>
      <c r="AD198" s="87"/>
      <c r="AE198" s="87"/>
      <c r="AF198" s="87"/>
      <c r="AG198" s="87"/>
      <c r="AH198" s="84"/>
      <c r="AI198" s="66"/>
      <c r="AJ198" s="54"/>
      <c r="AK198" s="54"/>
      <c r="AL198" s="54"/>
    </row>
    <row r="199" spans="1:38" hidden="1" outlineLevel="3" x14ac:dyDescent="0.25">
      <c r="A199" s="54"/>
      <c r="B199" s="63"/>
      <c r="C199" s="99">
        <f t="shared" si="32"/>
        <v>4</v>
      </c>
      <c r="D199" s="84"/>
      <c r="E199" s="79"/>
      <c r="F199" s="79">
        <f t="shared" si="33"/>
        <v>1</v>
      </c>
      <c r="G199" s="84"/>
      <c r="H199" s="87"/>
      <c r="I199" s="108">
        <v>1000</v>
      </c>
      <c r="J199" s="227">
        <v>0</v>
      </c>
      <c r="K199" s="227">
        <v>0</v>
      </c>
      <c r="L199" s="227">
        <v>0</v>
      </c>
      <c r="M199" s="227">
        <v>0</v>
      </c>
      <c r="N199" s="227">
        <v>0</v>
      </c>
      <c r="O199" s="108">
        <v>0</v>
      </c>
      <c r="P199" s="87"/>
      <c r="Q199" s="228">
        <v>0</v>
      </c>
      <c r="R199" s="228">
        <v>0</v>
      </c>
      <c r="S199" s="228">
        <v>0</v>
      </c>
      <c r="T199" s="228">
        <v>0</v>
      </c>
      <c r="U199" s="228">
        <v>0</v>
      </c>
      <c r="V199" s="91">
        <v>0</v>
      </c>
      <c r="W199" s="87"/>
      <c r="X199" s="228">
        <v>0</v>
      </c>
      <c r="Y199" s="228">
        <v>0</v>
      </c>
      <c r="Z199" s="228">
        <v>0</v>
      </c>
      <c r="AA199" s="228">
        <v>0</v>
      </c>
      <c r="AB199" s="228">
        <v>0</v>
      </c>
      <c r="AC199" s="91">
        <v>0</v>
      </c>
      <c r="AD199" s="87"/>
      <c r="AE199" s="87"/>
      <c r="AF199" s="87"/>
      <c r="AG199" s="87"/>
      <c r="AH199" s="84"/>
      <c r="AI199" s="66"/>
      <c r="AJ199" s="54"/>
      <c r="AK199" s="54"/>
      <c r="AL199" s="54"/>
    </row>
    <row r="200" spans="1:38" hidden="1" outlineLevel="2" x14ac:dyDescent="0.25">
      <c r="A200" s="54"/>
      <c r="B200" s="63"/>
      <c r="C200" s="99">
        <f>INT($C$153)+2</f>
        <v>3</v>
      </c>
      <c r="D200" s="84"/>
      <c r="E200" s="79">
        <v>2</v>
      </c>
      <c r="F200" s="79">
        <f>E200</f>
        <v>2</v>
      </c>
      <c r="G200" s="84"/>
      <c r="H200" s="108" t="str">
        <f>INDEX($H$169:$H$176,$E200+1,1)</f>
        <v>Store lamb grid (2)</v>
      </c>
      <c r="I200" s="198">
        <v>10</v>
      </c>
      <c r="J200" s="199">
        <v>1</v>
      </c>
      <c r="K200" s="157">
        <v>2</v>
      </c>
      <c r="L200" s="157">
        <v>2</v>
      </c>
      <c r="M200" s="157">
        <v>2</v>
      </c>
      <c r="N200" s="200">
        <v>1</v>
      </c>
      <c r="O200" s="201">
        <v>0</v>
      </c>
      <c r="P200" s="202"/>
      <c r="Q200" s="203">
        <f>SQRT(J200*MAX($J200:$N200)/(MAX(J200:J206)*MAX($J200:$N206)))</f>
        <v>0.25</v>
      </c>
      <c r="R200" s="204">
        <f>SQRT(K200*MAX($J200:$N200)/(MAX(K200:K206)*MAX($J200:$N206)))</f>
        <v>0.3125</v>
      </c>
      <c r="S200" s="204">
        <f>SQRT(L200*MAX($J200:$N200)/(MAX(L200:L206)*MAX($J200:$N206)))</f>
        <v>0.3125</v>
      </c>
      <c r="T200" s="204">
        <f>SQRT(M200*MAX($J200:$N200)/(MAX(M200:M206)*MAX($J200:$N206)))</f>
        <v>0.3125</v>
      </c>
      <c r="U200" s="205">
        <f>SQRT(N200*MAX($J200:$N200)/(MAX(N200:N206)*MAX($J200:$N206)))</f>
        <v>0.25</v>
      </c>
      <c r="V200" s="206">
        <v>0</v>
      </c>
      <c r="W200" s="202"/>
      <c r="X200" s="207">
        <f>SQRT(J200*MAX(J200:J206)/(MAX($J200:$N200)*MAX($J200:$N206)))</f>
        <v>0.625</v>
      </c>
      <c r="Y200" s="208">
        <f>SQRT(K200*MAX(K200:K206)/(MAX($J200:$N200)*MAX($J200:$N206)))</f>
        <v>1</v>
      </c>
      <c r="Z200" s="208">
        <f>SQRT(L200*MAX(L200:L206)/(MAX($J200:$N200)*MAX($J200:$N206)))</f>
        <v>1</v>
      </c>
      <c r="AA200" s="208">
        <f>SQRT(M200*MAX(M200:M206)/(MAX($J200:$N200)*MAX($J200:$N206)))</f>
        <v>1</v>
      </c>
      <c r="AB200" s="209">
        <f>SQRT(N200*MAX(N200:N206)/(MAX($J200:$N200)*MAX($J200:$N206)))</f>
        <v>0.625</v>
      </c>
      <c r="AC200" s="206">
        <v>0</v>
      </c>
      <c r="AD200" s="87"/>
      <c r="AE200" s="87"/>
      <c r="AF200" s="87"/>
      <c r="AG200" s="87"/>
      <c r="AH200" s="84"/>
      <c r="AI200" s="66"/>
      <c r="AJ200" s="54"/>
      <c r="AK200" s="54"/>
      <c r="AL200" s="54"/>
    </row>
    <row r="201" spans="1:38" hidden="1" outlineLevel="3" x14ac:dyDescent="0.25">
      <c r="A201" s="54"/>
      <c r="B201" s="63"/>
      <c r="C201" s="99">
        <f t="shared" ref="C201:C207" si="34">INT($C$153)+3</f>
        <v>4</v>
      </c>
      <c r="D201" s="84"/>
      <c r="E201" s="79"/>
      <c r="F201" s="79">
        <f>F200</f>
        <v>2</v>
      </c>
      <c r="G201" s="84"/>
      <c r="H201" s="210" t="str">
        <f>INDEX($M$161:$M$163,INDEX(i_salep_price_type_s7,$F201+1,1)+1,1)&amp;INDEX($L$161:$L$163,INDEX(ia_s8_s7,$F201+1,1)+1,1)</f>
        <v>$/kg DW, DW - Fat score</v>
      </c>
      <c r="I201" s="198">
        <v>14.1</v>
      </c>
      <c r="J201" s="211">
        <v>3</v>
      </c>
      <c r="K201" s="111">
        <v>5</v>
      </c>
      <c r="L201" s="111">
        <v>5</v>
      </c>
      <c r="M201" s="111">
        <v>5</v>
      </c>
      <c r="N201" s="212">
        <v>3</v>
      </c>
      <c r="O201" s="201">
        <v>0</v>
      </c>
      <c r="P201" s="202"/>
      <c r="Q201" s="213">
        <f>SQRT(J201*MAX($J201:$N201)/(MAX(J200:J206)*MAX($J200:$N206)))</f>
        <v>0.68465319688145765</v>
      </c>
      <c r="R201" s="214">
        <f>SQRT(K201*MAX($J201:$N201)/(MAX(K200:K206)*MAX($J200:$N206)))</f>
        <v>0.78124999999999989</v>
      </c>
      <c r="S201" s="214">
        <f>SQRT(L201*MAX($J201:$N201)/(MAX(L200:L206)*MAX($J200:$N206)))</f>
        <v>0.78124999999999989</v>
      </c>
      <c r="T201" s="214">
        <f>SQRT(M201*MAX($J201:$N201)/(MAX(M200:M206)*MAX($J200:$N206)))</f>
        <v>0.78124999999999989</v>
      </c>
      <c r="U201" s="215">
        <f>SQRT(N201*MAX($J201:$N201)/(MAX(N200:N206)*MAX($J200:$N206)))</f>
        <v>0.68465319688145765</v>
      </c>
      <c r="V201" s="206">
        <v>0</v>
      </c>
      <c r="W201" s="202"/>
      <c r="X201" s="216">
        <f>SQRT(J201*MAX(J200:J206)/(MAX($J201:$N201)*MAX($J200:$N206)))</f>
        <v>0.68465319688145765</v>
      </c>
      <c r="Y201" s="217">
        <f>SQRT(K201*MAX(K200:K206)/(MAX($J201:$N201)*MAX($J200:$N206)))</f>
        <v>1</v>
      </c>
      <c r="Z201" s="217">
        <f>SQRT(L201*MAX(L200:L206)/(MAX($J201:$N201)*MAX($J200:$N206)))</f>
        <v>1</v>
      </c>
      <c r="AA201" s="217">
        <f>SQRT(M201*MAX(M200:M206)/(MAX($J201:$N201)*MAX($J200:$N206)))</f>
        <v>1</v>
      </c>
      <c r="AB201" s="218">
        <f>SQRT(N201*MAX(N200:N206)/(MAX($J201:$N201)*MAX($J200:$N206)))</f>
        <v>0.68465319688145765</v>
      </c>
      <c r="AC201" s="206">
        <v>0</v>
      </c>
      <c r="AD201" s="87"/>
      <c r="AE201" s="87"/>
      <c r="AF201" s="87"/>
      <c r="AG201" s="87"/>
      <c r="AH201" s="84"/>
      <c r="AI201" s="66"/>
      <c r="AJ201" s="54"/>
      <c r="AK201" s="54"/>
      <c r="AL201" s="54"/>
    </row>
    <row r="202" spans="1:38" hidden="1" outlineLevel="3" x14ac:dyDescent="0.25">
      <c r="A202" s="54"/>
      <c r="B202" s="63"/>
      <c r="C202" s="99">
        <f t="shared" si="34"/>
        <v>4</v>
      </c>
      <c r="D202" s="84"/>
      <c r="E202" s="79"/>
      <c r="F202" s="79">
        <f t="shared" si="33"/>
        <v>2</v>
      </c>
      <c r="G202" s="84"/>
      <c r="H202" s="109"/>
      <c r="I202" s="198">
        <v>17.100000000000001</v>
      </c>
      <c r="J202" s="211">
        <v>4.5</v>
      </c>
      <c r="K202" s="111">
        <v>5.6</v>
      </c>
      <c r="L202" s="111">
        <v>5.6</v>
      </c>
      <c r="M202" s="111">
        <v>5.6</v>
      </c>
      <c r="N202" s="212">
        <v>4.5</v>
      </c>
      <c r="O202" s="201">
        <v>0</v>
      </c>
      <c r="P202" s="202"/>
      <c r="Q202" s="213">
        <f>SQRT(J202*MAX($J202:$N202)/(MAX(J200:J206)*MAX($J200:$N206)))</f>
        <v>0.88741196746494244</v>
      </c>
      <c r="R202" s="214">
        <f>SQRT(K202*MAX($J202:$N202)/(MAX(K200:K206)*MAX($J200:$N206)))</f>
        <v>0.87499999999999989</v>
      </c>
      <c r="S202" s="214">
        <f>SQRT(L202*MAX($J202:$N202)/(MAX(L200:L206)*MAX($J200:$N206)))</f>
        <v>0.87499999999999989</v>
      </c>
      <c r="T202" s="214">
        <f>SQRT(M202*MAX($J202:$N202)/(MAX(M200:M206)*MAX($J200:$N206)))</f>
        <v>0.87499999999999989</v>
      </c>
      <c r="U202" s="215">
        <f>SQRT(N202*MAX($J202:$N202)/(MAX(N200:N206)*MAX($J200:$N206)))</f>
        <v>0.88741196746494244</v>
      </c>
      <c r="V202" s="206">
        <v>0</v>
      </c>
      <c r="W202" s="202"/>
      <c r="X202" s="216">
        <f>SQRT(J202*MAX(J200:J206)/(MAX($J202:$N202)*MAX($J200:$N206)))</f>
        <v>0.7923321138079843</v>
      </c>
      <c r="Y202" s="217">
        <f>SQRT(K202*MAX(K200:K206)/(MAX($J202:$N202)*MAX($J200:$N206)))</f>
        <v>1</v>
      </c>
      <c r="Z202" s="217">
        <f>SQRT(L202*MAX(L200:L206)/(MAX($J202:$N202)*MAX($J200:$N206)))</f>
        <v>1</v>
      </c>
      <c r="AA202" s="217">
        <f>SQRT(M202*MAX(M200:M206)/(MAX($J202:$N202)*MAX($J200:$N206)))</f>
        <v>1</v>
      </c>
      <c r="AB202" s="218">
        <f>SQRT(N202*MAX(N200:N206)/(MAX($J202:$N202)*MAX($J200:$N206)))</f>
        <v>0.7923321138079843</v>
      </c>
      <c r="AC202" s="206">
        <v>0</v>
      </c>
      <c r="AD202" s="87"/>
      <c r="AE202" s="87"/>
      <c r="AF202" s="87"/>
      <c r="AG202" s="87"/>
      <c r="AH202" s="84"/>
      <c r="AI202" s="66"/>
      <c r="AJ202" s="54"/>
      <c r="AK202" s="54"/>
      <c r="AL202" s="54"/>
    </row>
    <row r="203" spans="1:38" hidden="1" outlineLevel="3" x14ac:dyDescent="0.25">
      <c r="A203" s="54"/>
      <c r="B203" s="63"/>
      <c r="C203" s="99">
        <f t="shared" si="34"/>
        <v>4</v>
      </c>
      <c r="D203" s="84"/>
      <c r="E203" s="79"/>
      <c r="F203" s="79">
        <f t="shared" si="33"/>
        <v>2</v>
      </c>
      <c r="G203" s="84"/>
      <c r="H203" s="87"/>
      <c r="I203" s="198">
        <v>18.100000000000001</v>
      </c>
      <c r="J203" s="211">
        <v>5</v>
      </c>
      <c r="K203" s="111">
        <v>6.4</v>
      </c>
      <c r="L203" s="111">
        <v>6.4</v>
      </c>
      <c r="M203" s="111">
        <v>6.4</v>
      </c>
      <c r="N203" s="212">
        <v>5</v>
      </c>
      <c r="O203" s="201">
        <v>0</v>
      </c>
      <c r="P203" s="202"/>
      <c r="Q203" s="213">
        <f>SQRT(J203*MAX($J203:$N203)/(MAX(J200:J206)*MAX($J200:$N206)))</f>
        <v>1</v>
      </c>
      <c r="R203" s="214">
        <f>SQRT(K203*MAX($J203:$N203)/(MAX(K200:K206)*MAX($J200:$N206)))</f>
        <v>1</v>
      </c>
      <c r="S203" s="214">
        <f>SQRT(L203*MAX($J203:$N203)/(MAX(L200:L206)*MAX($J200:$N206)))</f>
        <v>1</v>
      </c>
      <c r="T203" s="214">
        <f>SQRT(M203*MAX($J203:$N203)/(MAX(M200:M206)*MAX($J200:$N206)))</f>
        <v>1</v>
      </c>
      <c r="U203" s="215">
        <f>SQRT(N203*MAX($J203:$N203)/(MAX(N200:N206)*MAX($J200:$N206)))</f>
        <v>1</v>
      </c>
      <c r="V203" s="206">
        <v>0</v>
      </c>
      <c r="W203" s="202"/>
      <c r="X203" s="216">
        <f>SQRT(J203*MAX(J200:J206)/(MAX($J203:$N203)*MAX($J200:$N206)))</f>
        <v>0.78124999999999989</v>
      </c>
      <c r="Y203" s="217">
        <f>SQRT(K203*MAX(K200:K206)/(MAX($J203:$N203)*MAX($J200:$N206)))</f>
        <v>1</v>
      </c>
      <c r="Z203" s="217">
        <f>SQRT(L203*MAX(L200:L206)/(MAX($J203:$N203)*MAX($J200:$N206)))</f>
        <v>1</v>
      </c>
      <c r="AA203" s="217">
        <f>SQRT(M203*MAX(M200:M206)/(MAX($J203:$N203)*MAX($J200:$N206)))</f>
        <v>1</v>
      </c>
      <c r="AB203" s="218">
        <f>SQRT(N203*MAX(N200:N206)/(MAX($J203:$N203)*MAX($J200:$N206)))</f>
        <v>0.78124999999999989</v>
      </c>
      <c r="AC203" s="206">
        <v>0</v>
      </c>
      <c r="AD203" s="87"/>
      <c r="AE203" s="87"/>
      <c r="AF203" s="87"/>
      <c r="AG203" s="87"/>
      <c r="AH203" s="84"/>
      <c r="AI203" s="66"/>
      <c r="AJ203" s="54"/>
      <c r="AK203" s="54"/>
      <c r="AL203" s="54"/>
    </row>
    <row r="204" spans="1:38" hidden="1" outlineLevel="3" x14ac:dyDescent="0.25">
      <c r="A204" s="54"/>
      <c r="B204" s="63"/>
      <c r="C204" s="99">
        <f t="shared" si="34"/>
        <v>4</v>
      </c>
      <c r="D204" s="84"/>
      <c r="E204" s="79"/>
      <c r="F204" s="79">
        <f t="shared" si="33"/>
        <v>2</v>
      </c>
      <c r="G204" s="84"/>
      <c r="H204" s="87"/>
      <c r="I204" s="198">
        <v>26.1</v>
      </c>
      <c r="J204" s="211">
        <v>4.5999999999999996</v>
      </c>
      <c r="K204" s="111">
        <v>6.2</v>
      </c>
      <c r="L204" s="111">
        <v>6.2</v>
      </c>
      <c r="M204" s="111">
        <v>6.2</v>
      </c>
      <c r="N204" s="212">
        <v>4.5999999999999996</v>
      </c>
      <c r="O204" s="201">
        <v>0</v>
      </c>
      <c r="P204" s="202"/>
      <c r="Q204" s="213">
        <f>SQRT(J204*MAX($J204:$N204)/(MAX(J200:J206)*MAX($J200:$N206)))</f>
        <v>0.94406037942496024</v>
      </c>
      <c r="R204" s="214">
        <f>SQRT(K204*MAX($J204:$N204)/(MAX(K200:K206)*MAX($J200:$N206)))</f>
        <v>0.96874999999999989</v>
      </c>
      <c r="S204" s="214">
        <f>SQRT(L204*MAX($J204:$N204)/(MAX(L200:L206)*MAX($J200:$N206)))</f>
        <v>0.96874999999999989</v>
      </c>
      <c r="T204" s="214">
        <f>SQRT(M204*MAX($J204:$N204)/(MAX(M200:M206)*MAX($J200:$N206)))</f>
        <v>0.96874999999999989</v>
      </c>
      <c r="U204" s="215">
        <f>SQRT(N204*MAX($J204:$N204)/(MAX(N200:N206)*MAX($J200:$N206)))</f>
        <v>0.94406037942496024</v>
      </c>
      <c r="V204" s="206">
        <v>0</v>
      </c>
      <c r="W204" s="202"/>
      <c r="X204" s="216">
        <f>SQRT(J204*MAX(J200:J206)/(MAX($J204:$N204)*MAX($J200:$N206)))</f>
        <v>0.7613390156652905</v>
      </c>
      <c r="Y204" s="217">
        <f>SQRT(K204*MAX(K200:K206)/(MAX($J204:$N204)*MAX($J200:$N206)))</f>
        <v>1</v>
      </c>
      <c r="Z204" s="217">
        <f>SQRT(L204*MAX(L200:L206)/(MAX($J204:$N204)*MAX($J200:$N206)))</f>
        <v>1</v>
      </c>
      <c r="AA204" s="217">
        <f>SQRT(M204*MAX(M200:M206)/(MAX($J204:$N204)*MAX($J200:$N206)))</f>
        <v>1</v>
      </c>
      <c r="AB204" s="218">
        <f>SQRT(N204*MAX(N200:N206)/(MAX($J204:$N204)*MAX($J200:$N206)))</f>
        <v>0.7613390156652905</v>
      </c>
      <c r="AC204" s="206">
        <v>0</v>
      </c>
      <c r="AD204" s="87"/>
      <c r="AE204" s="87"/>
      <c r="AF204" s="87"/>
      <c r="AG204" s="87"/>
      <c r="AH204" s="84"/>
      <c r="AI204" s="66"/>
      <c r="AJ204" s="54"/>
      <c r="AK204" s="54"/>
      <c r="AL204" s="54"/>
    </row>
    <row r="205" spans="1:38" hidden="1" outlineLevel="3" x14ac:dyDescent="0.25">
      <c r="A205" s="54"/>
      <c r="B205" s="63"/>
      <c r="C205" s="99">
        <f t="shared" si="34"/>
        <v>4</v>
      </c>
      <c r="D205" s="84"/>
      <c r="E205" s="79"/>
      <c r="F205" s="79">
        <f t="shared" si="33"/>
        <v>2</v>
      </c>
      <c r="G205" s="84"/>
      <c r="H205" s="87"/>
      <c r="I205" s="198">
        <v>28.1</v>
      </c>
      <c r="J205" s="211">
        <v>4</v>
      </c>
      <c r="K205" s="111">
        <v>5.8</v>
      </c>
      <c r="L205" s="111">
        <v>5.8</v>
      </c>
      <c r="M205" s="111">
        <v>5.8</v>
      </c>
      <c r="N205" s="212">
        <v>4</v>
      </c>
      <c r="O205" s="201">
        <v>0</v>
      </c>
      <c r="P205" s="202"/>
      <c r="Q205" s="213">
        <f>SQRT(J205*MAX($J205:$N205)/(MAX(J200:J206)*MAX($J200:$N206)))</f>
        <v>0.85146931829632</v>
      </c>
      <c r="R205" s="214">
        <f>SQRT(K205*MAX($J205:$N205)/(MAX(K200:K206)*MAX($J200:$N206)))</f>
        <v>0.90624999999999989</v>
      </c>
      <c r="S205" s="214">
        <f>SQRT(L205*MAX($J205:$N205)/(MAX(L200:L206)*MAX($J200:$N206)))</f>
        <v>0.90624999999999989</v>
      </c>
      <c r="T205" s="214">
        <f>SQRT(M205*MAX($J205:$N205)/(MAX(M200:M206)*MAX($J200:$N206)))</f>
        <v>0.90624999999999989</v>
      </c>
      <c r="U205" s="215">
        <f>SQRT(N205*MAX($J205:$N205)/(MAX(N200:N206)*MAX($J200:$N206)))</f>
        <v>0.85146931829632</v>
      </c>
      <c r="V205" s="206">
        <v>0</v>
      </c>
      <c r="W205" s="202"/>
      <c r="X205" s="216">
        <f>SQRT(J205*MAX(J200:J206)/(MAX($J205:$N205)*MAX($J200:$N206)))</f>
        <v>0.73402527439337939</v>
      </c>
      <c r="Y205" s="217">
        <f>SQRT(K205*MAX(K200:K206)/(MAX($J205:$N205)*MAX($J200:$N206)))</f>
        <v>1</v>
      </c>
      <c r="Z205" s="217">
        <f>SQRT(L205*MAX(L200:L206)/(MAX($J205:$N205)*MAX($J200:$N206)))</f>
        <v>1</v>
      </c>
      <c r="AA205" s="217">
        <f>SQRT(M205*MAX(M200:M206)/(MAX($J205:$N205)*MAX($J200:$N206)))</f>
        <v>1</v>
      </c>
      <c r="AB205" s="218">
        <f>SQRT(N205*MAX(N200:N206)/(MAX($J205:$N205)*MAX($J200:$N206)))</f>
        <v>0.73402527439337939</v>
      </c>
      <c r="AC205" s="206">
        <v>0</v>
      </c>
      <c r="AD205" s="87"/>
      <c r="AE205" s="87"/>
      <c r="AF205" s="87"/>
      <c r="AG205" s="87"/>
      <c r="AH205" s="84"/>
      <c r="AI205" s="66"/>
      <c r="AJ205" s="54"/>
      <c r="AK205" s="54"/>
      <c r="AL205" s="54"/>
    </row>
    <row r="206" spans="1:38" hidden="1" outlineLevel="3" x14ac:dyDescent="0.25">
      <c r="A206" s="54"/>
      <c r="B206" s="63"/>
      <c r="C206" s="99">
        <f t="shared" si="34"/>
        <v>4</v>
      </c>
      <c r="D206" s="84"/>
      <c r="E206" s="79"/>
      <c r="F206" s="79">
        <f t="shared" si="33"/>
        <v>2</v>
      </c>
      <c r="G206" s="84"/>
      <c r="H206" s="87"/>
      <c r="I206" s="198">
        <v>32</v>
      </c>
      <c r="J206" s="219">
        <v>4</v>
      </c>
      <c r="K206" s="188">
        <v>5.4</v>
      </c>
      <c r="L206" s="188">
        <v>5.4</v>
      </c>
      <c r="M206" s="188">
        <v>5.4</v>
      </c>
      <c r="N206" s="220">
        <v>4</v>
      </c>
      <c r="O206" s="201">
        <v>0</v>
      </c>
      <c r="P206" s="202"/>
      <c r="Q206" s="221">
        <f>SQRT(J206*MAX($J206:$N206)/(MAX(J200:J206)*MAX($J200:$N206)))</f>
        <v>0.82158383625774922</v>
      </c>
      <c r="R206" s="222">
        <f>SQRT(K206*MAX($J206:$N206)/(MAX(K200:K206)*MAX($J200:$N206)))</f>
        <v>0.84375</v>
      </c>
      <c r="S206" s="222">
        <f>SQRT(L206*MAX($J206:$N206)/(MAX(L200:L206)*MAX($J200:$N206)))</f>
        <v>0.84375</v>
      </c>
      <c r="T206" s="222">
        <f>SQRT(M206*MAX($J206:$N206)/(MAX(M200:M206)*MAX($J200:$N206)))</f>
        <v>0.84375</v>
      </c>
      <c r="U206" s="223">
        <f>SQRT(N206*MAX($J206:$N206)/(MAX(N200:N206)*MAX($J200:$N206)))</f>
        <v>0.82158383625774922</v>
      </c>
      <c r="V206" s="206">
        <v>0</v>
      </c>
      <c r="W206" s="202"/>
      <c r="X206" s="224">
        <f>SQRT(J206*MAX(J200:J206)/(MAX($J206:$N206)*MAX($J200:$N206)))</f>
        <v>0.7607257743127307</v>
      </c>
      <c r="Y206" s="225">
        <f>SQRT(K206*MAX(K200:K206)/(MAX($J206:$N206)*MAX($J200:$N206)))</f>
        <v>1</v>
      </c>
      <c r="Z206" s="225">
        <f>SQRT(L206*MAX(L200:L206)/(MAX($J206:$N206)*MAX($J200:$N206)))</f>
        <v>1</v>
      </c>
      <c r="AA206" s="225">
        <f>SQRT(M206*MAX(M200:M206)/(MAX($J206:$N206)*MAX($J200:$N206)))</f>
        <v>1</v>
      </c>
      <c r="AB206" s="226">
        <f>SQRT(N206*MAX(N200:N206)/(MAX($J206:$N206)*MAX($J200:$N206)))</f>
        <v>0.7607257743127307</v>
      </c>
      <c r="AC206" s="206">
        <v>0</v>
      </c>
      <c r="AD206" s="87"/>
      <c r="AE206" s="87"/>
      <c r="AF206" s="87"/>
      <c r="AG206" s="87"/>
      <c r="AH206" s="84"/>
      <c r="AI206" s="66"/>
      <c r="AJ206" s="54"/>
      <c r="AK206" s="54"/>
      <c r="AL206" s="54"/>
    </row>
    <row r="207" spans="1:38" hidden="1" outlineLevel="3" x14ac:dyDescent="0.25">
      <c r="A207" s="54"/>
      <c r="B207" s="63"/>
      <c r="C207" s="99">
        <f t="shared" si="34"/>
        <v>4</v>
      </c>
      <c r="D207" s="84"/>
      <c r="E207" s="79"/>
      <c r="F207" s="79">
        <f t="shared" si="33"/>
        <v>2</v>
      </c>
      <c r="G207" s="84"/>
      <c r="H207" s="87"/>
      <c r="I207" s="108">
        <v>1000</v>
      </c>
      <c r="J207" s="227">
        <v>0</v>
      </c>
      <c r="K207" s="227">
        <v>0</v>
      </c>
      <c r="L207" s="227">
        <v>0</v>
      </c>
      <c r="M207" s="227">
        <v>0</v>
      </c>
      <c r="N207" s="227">
        <v>0</v>
      </c>
      <c r="O207" s="108">
        <v>0</v>
      </c>
      <c r="P207" s="87"/>
      <c r="Q207" s="228">
        <v>0</v>
      </c>
      <c r="R207" s="228">
        <v>0</v>
      </c>
      <c r="S207" s="228">
        <v>0</v>
      </c>
      <c r="T207" s="228">
        <v>0</v>
      </c>
      <c r="U207" s="228">
        <v>0</v>
      </c>
      <c r="V207" s="91">
        <v>0</v>
      </c>
      <c r="W207" s="87"/>
      <c r="X207" s="228">
        <v>0</v>
      </c>
      <c r="Y207" s="228">
        <v>0</v>
      </c>
      <c r="Z207" s="228">
        <v>0</v>
      </c>
      <c r="AA207" s="228">
        <v>0</v>
      </c>
      <c r="AB207" s="228">
        <v>0</v>
      </c>
      <c r="AC207" s="91">
        <v>0</v>
      </c>
      <c r="AD207" s="87"/>
      <c r="AE207" s="87"/>
      <c r="AF207" s="87"/>
      <c r="AG207" s="87"/>
      <c r="AH207" s="84"/>
      <c r="AI207" s="66"/>
      <c r="AJ207" s="54"/>
      <c r="AK207" s="54"/>
      <c r="AL207" s="54"/>
    </row>
    <row r="208" spans="1:38" hidden="1" outlineLevel="2" x14ac:dyDescent="0.25">
      <c r="A208" s="54"/>
      <c r="B208" s="63"/>
      <c r="C208" s="99">
        <f>INT($C$153)+2</f>
        <v>3</v>
      </c>
      <c r="D208" s="84"/>
      <c r="E208" s="79">
        <v>3</v>
      </c>
      <c r="F208" s="79">
        <f>E208</f>
        <v>3</v>
      </c>
      <c r="G208" s="84"/>
      <c r="H208" s="108" t="str">
        <f>INDEX($H$169:$H$176,$E208+1,1)</f>
        <v>Yearling grid (3)</v>
      </c>
      <c r="I208" s="198">
        <f t="shared" ref="I208:N214" si="35">I232</f>
        <v>10.1</v>
      </c>
      <c r="J208" s="199">
        <f t="shared" si="35"/>
        <v>3</v>
      </c>
      <c r="K208" s="157">
        <f t="shared" si="35"/>
        <v>3</v>
      </c>
      <c r="L208" s="157">
        <f t="shared" si="35"/>
        <v>3</v>
      </c>
      <c r="M208" s="157">
        <f t="shared" si="35"/>
        <v>3</v>
      </c>
      <c r="N208" s="200">
        <f t="shared" si="35"/>
        <v>2</v>
      </c>
      <c r="O208" s="201">
        <v>0</v>
      </c>
      <c r="P208" s="202"/>
      <c r="Q208" s="203">
        <f>SQRT(J208*MAX($J208:$N208)/(MAX(J208:J214)*MAX($J208:$N214)))</f>
        <v>0.58834840541455213</v>
      </c>
      <c r="R208" s="204">
        <f>SQRT(K208*MAX($J208:$N208)/(MAX(K208:K214)*MAX($J208:$N214)))</f>
        <v>0.57692307692307687</v>
      </c>
      <c r="S208" s="204">
        <f>SQRT(L208*MAX($J208:$N208)/(MAX(L208:L214)*MAX($J208:$N214)))</f>
        <v>0.57692307692307687</v>
      </c>
      <c r="T208" s="204">
        <f>SQRT(M208*MAX($J208:$N208)/(MAX(M208:M214)*MAX($J208:$N214)))</f>
        <v>0.57692307692307687</v>
      </c>
      <c r="U208" s="205">
        <f>SQRT(N208*MAX($J208:$N208)/(MAX(N208:N214)*MAX($J208:$N214)))</f>
        <v>0.53708615552957462</v>
      </c>
      <c r="V208" s="206">
        <v>0</v>
      </c>
      <c r="W208" s="202"/>
      <c r="X208" s="207">
        <f>SQRT(J208*MAX(J208:J214)/(MAX($J208:$N208)*MAX($J208:$N214)))</f>
        <v>0.98058067569092011</v>
      </c>
      <c r="Y208" s="208">
        <f>SQRT(K208*MAX(K208:K214)/(MAX($J208:$N208)*MAX($J208:$N214)))</f>
        <v>1</v>
      </c>
      <c r="Z208" s="208">
        <f>SQRT(L208*MAX(L208:L214)/(MAX($J208:$N208)*MAX($J208:$N214)))</f>
        <v>1</v>
      </c>
      <c r="AA208" s="208">
        <f>SQRT(M208*MAX(M208:M214)/(MAX($J208:$N208)*MAX($J208:$N214)))</f>
        <v>1</v>
      </c>
      <c r="AB208" s="209">
        <f>SQRT(N208*MAX(N208:N214)/(MAX($J208:$N208)*MAX($J208:$N214)))</f>
        <v>0.71611487403943286</v>
      </c>
      <c r="AC208" s="206">
        <v>0</v>
      </c>
      <c r="AD208" s="87"/>
      <c r="AE208" s="87"/>
      <c r="AF208" s="87"/>
      <c r="AG208" s="87"/>
      <c r="AH208" s="84"/>
      <c r="AI208" s="66"/>
      <c r="AJ208" s="54"/>
      <c r="AK208" s="54"/>
      <c r="AL208" s="54"/>
    </row>
    <row r="209" spans="1:38" hidden="1" outlineLevel="3" x14ac:dyDescent="0.25">
      <c r="A209" s="54"/>
      <c r="B209" s="63"/>
      <c r="C209" s="99">
        <f t="shared" ref="C209:C215" si="36">INT($C$153)+3</f>
        <v>4</v>
      </c>
      <c r="D209" s="84"/>
      <c r="E209" s="79"/>
      <c r="F209" s="79">
        <f>F208</f>
        <v>3</v>
      </c>
      <c r="G209" s="84"/>
      <c r="H209" s="210" t="str">
        <f>INDEX($M$161:$M$163,INDEX(i_salep_price_type_s7,$F209+1,1)+1,1)&amp;INDEX($L$161:$L$163,INDEX(ia_s8_s7,$F209+1,1)+1,1)</f>
        <v>$/kg DW, DW - Fat score</v>
      </c>
      <c r="I209" s="198">
        <f t="shared" si="35"/>
        <v>14.1</v>
      </c>
      <c r="J209" s="211">
        <f t="shared" si="35"/>
        <v>4.4000000000000004</v>
      </c>
      <c r="K209" s="111">
        <f t="shared" si="35"/>
        <v>4.4000000000000004</v>
      </c>
      <c r="L209" s="111">
        <f t="shared" si="35"/>
        <v>4.4000000000000004</v>
      </c>
      <c r="M209" s="111">
        <f t="shared" si="35"/>
        <v>4.4000000000000004</v>
      </c>
      <c r="N209" s="212">
        <f t="shared" si="35"/>
        <v>2</v>
      </c>
      <c r="O209" s="201">
        <v>0</v>
      </c>
      <c r="P209" s="202"/>
      <c r="Q209" s="213">
        <f>SQRT(J209*MAX($J209:$N209)/(MAX(J208:J214)*MAX($J208:$N214)))</f>
        <v>0.8629109946080098</v>
      </c>
      <c r="R209" s="214">
        <f>SQRT(K209*MAX($J209:$N209)/(MAX(K208:K214)*MAX($J208:$N214)))</f>
        <v>0.84615384615384615</v>
      </c>
      <c r="S209" s="214">
        <f>SQRT(L209*MAX($J209:$N209)/(MAX(L208:L214)*MAX($J208:$N214)))</f>
        <v>0.84615384615384615</v>
      </c>
      <c r="T209" s="214">
        <f>SQRT(M209*MAX($J209:$N209)/(MAX(M208:M214)*MAX($J208:$N214)))</f>
        <v>0.84615384615384615</v>
      </c>
      <c r="U209" s="215">
        <f>SQRT(N209*MAX($J209:$N209)/(MAX(N208:N214)*MAX($J208:$N214)))</f>
        <v>0.6504436355879909</v>
      </c>
      <c r="V209" s="206">
        <v>0</v>
      </c>
      <c r="W209" s="202"/>
      <c r="X209" s="216">
        <f>SQRT(J209*MAX(J208:J214)/(MAX($J209:$N209)*MAX($J208:$N214)))</f>
        <v>0.98058067569092011</v>
      </c>
      <c r="Y209" s="217">
        <f>SQRT(K209*MAX(K208:K214)/(MAX($J209:$N209)*MAX($J208:$N214)))</f>
        <v>1</v>
      </c>
      <c r="Z209" s="217">
        <f>SQRT(L209*MAX(L208:L214)/(MAX($J209:$N209)*MAX($J208:$N214)))</f>
        <v>1</v>
      </c>
      <c r="AA209" s="217">
        <f>SQRT(M209*MAX(M208:M214)/(MAX($J209:$N209)*MAX($J208:$N214)))</f>
        <v>1</v>
      </c>
      <c r="AB209" s="218">
        <f>SQRT(N209*MAX(N208:N214)/(MAX($J209:$N209)*MAX($J208:$N214)))</f>
        <v>0.59131239598908258</v>
      </c>
      <c r="AC209" s="206">
        <v>0</v>
      </c>
      <c r="AD209" s="87"/>
      <c r="AE209" s="87"/>
      <c r="AF209" s="87"/>
      <c r="AG209" s="87"/>
      <c r="AH209" s="84"/>
      <c r="AI209" s="66"/>
      <c r="AJ209" s="54"/>
      <c r="AK209" s="54"/>
      <c r="AL209" s="54"/>
    </row>
    <row r="210" spans="1:38" hidden="1" outlineLevel="3" x14ac:dyDescent="0.25">
      <c r="A210" s="54"/>
      <c r="B210" s="63"/>
      <c r="C210" s="99">
        <f t="shared" si="36"/>
        <v>4</v>
      </c>
      <c r="D210" s="84"/>
      <c r="E210" s="79"/>
      <c r="F210" s="79">
        <f t="shared" si="33"/>
        <v>3</v>
      </c>
      <c r="G210" s="84"/>
      <c r="H210" s="229" t="s">
        <v>345</v>
      </c>
      <c r="I210" s="198">
        <f t="shared" si="35"/>
        <v>18.100000000000001</v>
      </c>
      <c r="J210" s="211">
        <f t="shared" si="35"/>
        <v>5</v>
      </c>
      <c r="K210" s="111">
        <f t="shared" si="35"/>
        <v>5.2</v>
      </c>
      <c r="L210" s="111">
        <f t="shared" si="35"/>
        <v>5.2</v>
      </c>
      <c r="M210" s="111">
        <f t="shared" si="35"/>
        <v>5.2</v>
      </c>
      <c r="N210" s="212">
        <f t="shared" si="35"/>
        <v>4</v>
      </c>
      <c r="O210" s="201">
        <v>0</v>
      </c>
      <c r="P210" s="202"/>
      <c r="Q210" s="213">
        <f>SQRT(J210*MAX($J210:$N210)/(MAX(J208:J214)*MAX($J208:$N214)))</f>
        <v>1</v>
      </c>
      <c r="R210" s="214">
        <f>SQRT(K210*MAX($J210:$N210)/(MAX(K208:K214)*MAX($J208:$N214)))</f>
        <v>1</v>
      </c>
      <c r="S210" s="214">
        <f>SQRT(L210*MAX($J210:$N210)/(MAX(L208:L214)*MAX($J208:$N214)))</f>
        <v>1</v>
      </c>
      <c r="T210" s="214">
        <f>SQRT(M210*MAX($J210:$N210)/(MAX(M208:M214)*MAX($J208:$N214)))</f>
        <v>1</v>
      </c>
      <c r="U210" s="215">
        <f>SQRT(N210*MAX($J210:$N210)/(MAX(N208:N214)*MAX($J208:$N214)))</f>
        <v>1</v>
      </c>
      <c r="V210" s="206">
        <v>0</v>
      </c>
      <c r="W210" s="202"/>
      <c r="X210" s="216">
        <f>SQRT(J210*MAX(J208:J214)/(MAX($J210:$N210)*MAX($J208:$N214)))</f>
        <v>0.96153846153846145</v>
      </c>
      <c r="Y210" s="217">
        <f>SQRT(K210*MAX(K208:K214)/(MAX($J210:$N210)*MAX($J208:$N214)))</f>
        <v>1</v>
      </c>
      <c r="Z210" s="217">
        <f>SQRT(L210*MAX(L208:L214)/(MAX($J210:$N210)*MAX($J208:$N214)))</f>
        <v>1</v>
      </c>
      <c r="AA210" s="217">
        <f>SQRT(M210*MAX(M208:M214)/(MAX($J210:$N210)*MAX($J208:$N214)))</f>
        <v>1</v>
      </c>
      <c r="AB210" s="218">
        <f>SQRT(N210*MAX(N208:N214)/(MAX($J210:$N210)*MAX($J208:$N214)))</f>
        <v>0.76923076923076916</v>
      </c>
      <c r="AC210" s="206">
        <v>0</v>
      </c>
      <c r="AD210" s="87"/>
      <c r="AE210" s="87"/>
      <c r="AF210" s="87"/>
      <c r="AG210" s="87"/>
      <c r="AH210" s="84"/>
      <c r="AI210" s="66"/>
      <c r="AJ210" s="54"/>
      <c r="AK210" s="54"/>
      <c r="AL210" s="54"/>
    </row>
    <row r="211" spans="1:38" hidden="1" outlineLevel="3" x14ac:dyDescent="0.25">
      <c r="A211" s="54"/>
      <c r="B211" s="63"/>
      <c r="C211" s="99">
        <f t="shared" si="36"/>
        <v>4</v>
      </c>
      <c r="D211" s="84"/>
      <c r="E211" s="79"/>
      <c r="F211" s="79">
        <f t="shared" si="33"/>
        <v>3</v>
      </c>
      <c r="G211" s="84"/>
      <c r="H211" s="87"/>
      <c r="I211" s="198">
        <f t="shared" si="35"/>
        <v>35.1</v>
      </c>
      <c r="J211" s="211">
        <f t="shared" si="35"/>
        <v>4.5</v>
      </c>
      <c r="K211" s="111">
        <f t="shared" si="35"/>
        <v>4.9000000000000004</v>
      </c>
      <c r="L211" s="111">
        <f t="shared" si="35"/>
        <v>4.9000000000000004</v>
      </c>
      <c r="M211" s="111">
        <f t="shared" si="35"/>
        <v>4.9000000000000004</v>
      </c>
      <c r="N211" s="212">
        <f t="shared" si="35"/>
        <v>4</v>
      </c>
      <c r="O211" s="201">
        <v>0</v>
      </c>
      <c r="P211" s="202"/>
      <c r="Q211" s="213">
        <f>SQRT(J211*MAX($J211:$N211)/(MAX(J208:J214)*MAX($J208:$N214)))</f>
        <v>0.92091092027238064</v>
      </c>
      <c r="R211" s="214">
        <f>SQRT(K211*MAX($J211:$N211)/(MAX(K208:K214)*MAX($J208:$N214)))</f>
        <v>0.9423076923076924</v>
      </c>
      <c r="S211" s="214">
        <f>SQRT(L211*MAX($J211:$N211)/(MAX(L208:L214)*MAX($J208:$N214)))</f>
        <v>0.9423076923076924</v>
      </c>
      <c r="T211" s="214">
        <f>SQRT(M211*MAX($J211:$N211)/(MAX(M208:M214)*MAX($J208:$N214)))</f>
        <v>0.9423076923076924</v>
      </c>
      <c r="U211" s="215">
        <f>SQRT(N211*MAX($J211:$N211)/(MAX(N208:N214)*MAX($J208:$N214)))</f>
        <v>0.97072534339415095</v>
      </c>
      <c r="V211" s="206">
        <v>0</v>
      </c>
      <c r="W211" s="202"/>
      <c r="X211" s="216">
        <f>SQRT(J211*MAX(J208:J214)/(MAX($J211:$N211)*MAX($J208:$N214)))</f>
        <v>0.93970502068610262</v>
      </c>
      <c r="Y211" s="217">
        <f>SQRT(K211*MAX(K208:K214)/(MAX($J211:$N211)*MAX($J208:$N214)))</f>
        <v>1</v>
      </c>
      <c r="Z211" s="217">
        <f>SQRT(L211*MAX(L208:L214)/(MAX($J211:$N211)*MAX($J208:$N214)))</f>
        <v>1</v>
      </c>
      <c r="AA211" s="217">
        <f>SQRT(M211*MAX(M208:M214)/(MAX($J211:$N211)*MAX($J208:$N214)))</f>
        <v>1</v>
      </c>
      <c r="AB211" s="218">
        <f>SQRT(N211*MAX(N208:N214)/(MAX($J211:$N211)*MAX($J208:$N214)))</f>
        <v>0.79242885175032729</v>
      </c>
      <c r="AC211" s="206">
        <v>0</v>
      </c>
      <c r="AD211" s="87"/>
      <c r="AE211" s="87"/>
      <c r="AF211" s="87"/>
      <c r="AG211" s="87"/>
      <c r="AH211" s="84"/>
      <c r="AI211" s="66"/>
      <c r="AJ211" s="54"/>
      <c r="AK211" s="54"/>
      <c r="AL211" s="54"/>
    </row>
    <row r="212" spans="1:38" hidden="1" outlineLevel="3" x14ac:dyDescent="0.25">
      <c r="A212" s="54"/>
      <c r="B212" s="63"/>
      <c r="C212" s="99">
        <f t="shared" si="36"/>
        <v>4</v>
      </c>
      <c r="D212" s="84"/>
      <c r="E212" s="79"/>
      <c r="F212" s="79">
        <f t="shared" si="33"/>
        <v>3</v>
      </c>
      <c r="G212" s="84"/>
      <c r="H212" s="87"/>
      <c r="I212" s="198">
        <f t="shared" si="35"/>
        <v>40.1</v>
      </c>
      <c r="J212" s="211">
        <f t="shared" si="35"/>
        <v>4.4000000000000004</v>
      </c>
      <c r="K212" s="111">
        <f t="shared" si="35"/>
        <v>4.5999999999999996</v>
      </c>
      <c r="L212" s="111">
        <f t="shared" si="35"/>
        <v>4.5999999999999996</v>
      </c>
      <c r="M212" s="111">
        <f t="shared" si="35"/>
        <v>4.5999999999999996</v>
      </c>
      <c r="N212" s="212">
        <f t="shared" si="35"/>
        <v>4</v>
      </c>
      <c r="O212" s="201">
        <v>0</v>
      </c>
      <c r="P212" s="202"/>
      <c r="Q212" s="213">
        <f>SQRT(J212*MAX($J212:$N212)/(MAX(J208:J214)*MAX($J208:$N214)))</f>
        <v>0.88230467439628724</v>
      </c>
      <c r="R212" s="214">
        <f>SQRT(K212*MAX($J212:$N212)/(MAX(K208:K214)*MAX($J208:$N214)))</f>
        <v>0.88461538461538447</v>
      </c>
      <c r="S212" s="214">
        <f>SQRT(L212*MAX($J212:$N212)/(MAX(L208:L214)*MAX($J208:$N214)))</f>
        <v>0.88461538461538447</v>
      </c>
      <c r="T212" s="214">
        <f>SQRT(M212*MAX($J212:$N212)/(MAX(M208:M214)*MAX($J208:$N214)))</f>
        <v>0.88461538461538447</v>
      </c>
      <c r="U212" s="215">
        <f>SQRT(N212*MAX($J212:$N212)/(MAX(N208:N214)*MAX($J208:$N214)))</f>
        <v>0.94053994312596023</v>
      </c>
      <c r="V212" s="206">
        <v>0</v>
      </c>
      <c r="W212" s="202"/>
      <c r="X212" s="216">
        <f>SQRT(J212*MAX(J208:J214)/(MAX($J212:$N212)*MAX($J208:$N214)))</f>
        <v>0.9590268199959644</v>
      </c>
      <c r="Y212" s="217">
        <f>SQRT(K212*MAX(K208:K214)/(MAX($J212:$N212)*MAX($J208:$N214)))</f>
        <v>1</v>
      </c>
      <c r="Z212" s="217">
        <f>SQRT(L212*MAX(L208:L214)/(MAX($J212:$N212)*MAX($J208:$N214)))</f>
        <v>1</v>
      </c>
      <c r="AA212" s="217">
        <f>SQRT(M212*MAX(M208:M214)/(MAX($J212:$N212)*MAX($J208:$N214)))</f>
        <v>1</v>
      </c>
      <c r="AB212" s="218">
        <f>SQRT(N212*MAX(N208:N214)/(MAX($J212:$N212)*MAX($J208:$N214)))</f>
        <v>0.81786082010953065</v>
      </c>
      <c r="AC212" s="206">
        <v>0</v>
      </c>
      <c r="AD212" s="87"/>
      <c r="AE212" s="87"/>
      <c r="AF212" s="87"/>
      <c r="AG212" s="87"/>
      <c r="AH212" s="84"/>
      <c r="AI212" s="66"/>
      <c r="AJ212" s="54"/>
      <c r="AK212" s="54"/>
      <c r="AL212" s="54"/>
    </row>
    <row r="213" spans="1:38" hidden="1" outlineLevel="3" x14ac:dyDescent="0.25">
      <c r="A213" s="54"/>
      <c r="B213" s="63"/>
      <c r="C213" s="99">
        <f t="shared" si="36"/>
        <v>4</v>
      </c>
      <c r="D213" s="84"/>
      <c r="E213" s="79"/>
      <c r="F213" s="79">
        <f t="shared" si="33"/>
        <v>3</v>
      </c>
      <c r="G213" s="84"/>
      <c r="H213" s="87"/>
      <c r="I213" s="198">
        <f t="shared" si="35"/>
        <v>45.1</v>
      </c>
      <c r="J213" s="211">
        <f t="shared" si="35"/>
        <v>4</v>
      </c>
      <c r="K213" s="111">
        <f t="shared" si="35"/>
        <v>4</v>
      </c>
      <c r="L213" s="111">
        <f t="shared" si="35"/>
        <v>4</v>
      </c>
      <c r="M213" s="111">
        <f t="shared" si="35"/>
        <v>4</v>
      </c>
      <c r="N213" s="212">
        <f t="shared" si="35"/>
        <v>4</v>
      </c>
      <c r="O213" s="201">
        <v>0</v>
      </c>
      <c r="P213" s="202"/>
      <c r="Q213" s="213">
        <f>SQRT(J213*MAX($J213:$N213)/(MAX(J208:J214)*MAX($J208:$N214)))</f>
        <v>0.78446454055273618</v>
      </c>
      <c r="R213" s="214">
        <f>SQRT(K213*MAX($J213:$N213)/(MAX(K208:K214)*MAX($J208:$N214)))</f>
        <v>0.76923076923076916</v>
      </c>
      <c r="S213" s="214">
        <f>SQRT(L213*MAX($J213:$N213)/(MAX(L208:L214)*MAX($J208:$N214)))</f>
        <v>0.76923076923076916</v>
      </c>
      <c r="T213" s="214">
        <f>SQRT(M213*MAX($J213:$N213)/(MAX(M208:M214)*MAX($J208:$N214)))</f>
        <v>0.76923076923076916</v>
      </c>
      <c r="U213" s="215">
        <f>SQRT(N213*MAX($J213:$N213)/(MAX(N208:N214)*MAX($J208:$N214)))</f>
        <v>0.8770580193070292</v>
      </c>
      <c r="V213" s="206">
        <v>0</v>
      </c>
      <c r="W213" s="202"/>
      <c r="X213" s="216">
        <f>SQRT(J213*MAX(J208:J214)/(MAX($J213:$N213)*MAX($J208:$N214)))</f>
        <v>0.98058067569092011</v>
      </c>
      <c r="Y213" s="217">
        <f>SQRT(K213*MAX(K208:K214)/(MAX($J213:$N213)*MAX($J208:$N214)))</f>
        <v>1</v>
      </c>
      <c r="Z213" s="217">
        <f>SQRT(L213*MAX(L208:L214)/(MAX($J213:$N213)*MAX($J208:$N214)))</f>
        <v>1</v>
      </c>
      <c r="AA213" s="217">
        <f>SQRT(M213*MAX(M208:M214)/(MAX($J213:$N213)*MAX($J208:$N214)))</f>
        <v>1</v>
      </c>
      <c r="AB213" s="218">
        <f>SQRT(N213*MAX(N208:N214)/(MAX($J213:$N213)*MAX($J208:$N214)))</f>
        <v>0.8770580193070292</v>
      </c>
      <c r="AC213" s="206">
        <v>0</v>
      </c>
      <c r="AD213" s="87"/>
      <c r="AE213" s="87"/>
      <c r="AF213" s="87"/>
      <c r="AG213" s="87"/>
      <c r="AH213" s="84"/>
      <c r="AI213" s="66"/>
      <c r="AJ213" s="54"/>
      <c r="AK213" s="54"/>
      <c r="AL213" s="54"/>
    </row>
    <row r="214" spans="1:38" hidden="1" outlineLevel="3" x14ac:dyDescent="0.25">
      <c r="A214" s="54"/>
      <c r="B214" s="63"/>
      <c r="C214" s="99">
        <f t="shared" si="36"/>
        <v>4</v>
      </c>
      <c r="D214" s="84"/>
      <c r="E214" s="79"/>
      <c r="F214" s="79">
        <f t="shared" si="33"/>
        <v>3</v>
      </c>
      <c r="G214" s="84"/>
      <c r="H214" s="87"/>
      <c r="I214" s="198">
        <f t="shared" si="35"/>
        <v>45.1</v>
      </c>
      <c r="J214" s="219">
        <f t="shared" si="35"/>
        <v>4</v>
      </c>
      <c r="K214" s="188">
        <f t="shared" si="35"/>
        <v>4</v>
      </c>
      <c r="L214" s="188">
        <f t="shared" si="35"/>
        <v>4</v>
      </c>
      <c r="M214" s="188">
        <f t="shared" si="35"/>
        <v>4</v>
      </c>
      <c r="N214" s="220">
        <f t="shared" si="35"/>
        <v>4</v>
      </c>
      <c r="O214" s="201">
        <v>0</v>
      </c>
      <c r="P214" s="202"/>
      <c r="Q214" s="221">
        <f>SQRT(J214*MAX($J214:$N214)/(MAX(J208:J214)*MAX($J208:$N214)))</f>
        <v>0.78446454055273618</v>
      </c>
      <c r="R214" s="222">
        <f>SQRT(K214*MAX($J214:$N214)/(MAX(K208:K214)*MAX($J208:$N214)))</f>
        <v>0.76923076923076916</v>
      </c>
      <c r="S214" s="222">
        <f>SQRT(L214*MAX($J214:$N214)/(MAX(L208:L214)*MAX($J208:$N214)))</f>
        <v>0.76923076923076916</v>
      </c>
      <c r="T214" s="222">
        <f>SQRT(M214*MAX($J214:$N214)/(MAX(M208:M214)*MAX($J208:$N214)))</f>
        <v>0.76923076923076916</v>
      </c>
      <c r="U214" s="223">
        <f>SQRT(N214*MAX($J214:$N214)/(MAX(N208:N214)*MAX($J208:$N214)))</f>
        <v>0.8770580193070292</v>
      </c>
      <c r="V214" s="206">
        <v>0</v>
      </c>
      <c r="W214" s="202"/>
      <c r="X214" s="224">
        <f>SQRT(J214*MAX(J208:J214)/(MAX($J214:$N214)*MAX($J208:$N214)))</f>
        <v>0.98058067569092011</v>
      </c>
      <c r="Y214" s="225">
        <f>SQRT(K214*MAX(K208:K214)/(MAX($J214:$N214)*MAX($J208:$N214)))</f>
        <v>1</v>
      </c>
      <c r="Z214" s="225">
        <f>SQRT(L214*MAX(L208:L214)/(MAX($J214:$N214)*MAX($J208:$N214)))</f>
        <v>1</v>
      </c>
      <c r="AA214" s="225">
        <f>SQRT(M214*MAX(M208:M214)/(MAX($J214:$N214)*MAX($J208:$N214)))</f>
        <v>1</v>
      </c>
      <c r="AB214" s="226">
        <f>SQRT(N214*MAX(N208:N214)/(MAX($J214:$N214)*MAX($J208:$N214)))</f>
        <v>0.8770580193070292</v>
      </c>
      <c r="AC214" s="206">
        <v>0</v>
      </c>
      <c r="AD214" s="87"/>
      <c r="AE214" s="87"/>
      <c r="AF214" s="87"/>
      <c r="AG214" s="87"/>
      <c r="AH214" s="84"/>
      <c r="AI214" s="66"/>
      <c r="AJ214" s="54"/>
      <c r="AK214" s="54"/>
      <c r="AL214" s="54"/>
    </row>
    <row r="215" spans="1:38" hidden="1" outlineLevel="3" x14ac:dyDescent="0.25">
      <c r="A215" s="54"/>
      <c r="B215" s="63"/>
      <c r="C215" s="99">
        <f t="shared" si="36"/>
        <v>4</v>
      </c>
      <c r="D215" s="84"/>
      <c r="E215" s="79"/>
      <c r="F215" s="79">
        <f t="shared" si="33"/>
        <v>3</v>
      </c>
      <c r="G215" s="84"/>
      <c r="H215" s="87"/>
      <c r="I215" s="108">
        <v>1000</v>
      </c>
      <c r="J215" s="227">
        <v>0</v>
      </c>
      <c r="K215" s="227">
        <v>0</v>
      </c>
      <c r="L215" s="227">
        <v>0</v>
      </c>
      <c r="M215" s="227">
        <v>0</v>
      </c>
      <c r="N215" s="227">
        <v>0</v>
      </c>
      <c r="O215" s="108">
        <v>0</v>
      </c>
      <c r="P215" s="87"/>
      <c r="Q215" s="228">
        <v>0</v>
      </c>
      <c r="R215" s="228">
        <v>0</v>
      </c>
      <c r="S215" s="228">
        <v>0</v>
      </c>
      <c r="T215" s="228">
        <v>0</v>
      </c>
      <c r="U215" s="228">
        <v>0</v>
      </c>
      <c r="V215" s="91">
        <v>0</v>
      </c>
      <c r="W215" s="87"/>
      <c r="X215" s="228">
        <v>0</v>
      </c>
      <c r="Y215" s="228">
        <v>0</v>
      </c>
      <c r="Z215" s="228">
        <v>0</v>
      </c>
      <c r="AA215" s="228">
        <v>0</v>
      </c>
      <c r="AB215" s="228">
        <v>0</v>
      </c>
      <c r="AC215" s="91">
        <v>0</v>
      </c>
      <c r="AD215" s="87"/>
      <c r="AE215" s="87"/>
      <c r="AF215" s="87"/>
      <c r="AG215" s="87"/>
      <c r="AH215" s="84"/>
      <c r="AI215" s="66"/>
      <c r="AJ215" s="54"/>
      <c r="AK215" s="54"/>
      <c r="AL215" s="54"/>
    </row>
    <row r="216" spans="1:38" hidden="1" outlineLevel="2" x14ac:dyDescent="0.25">
      <c r="A216" s="54"/>
      <c r="B216" s="63"/>
      <c r="C216" s="99">
        <f>INT($C$153)+2</f>
        <v>3</v>
      </c>
      <c r="D216" s="84"/>
      <c r="E216" s="79">
        <v>4</v>
      </c>
      <c r="F216" s="79">
        <f>E216</f>
        <v>4</v>
      </c>
      <c r="G216" s="84"/>
      <c r="H216" s="108" t="str">
        <f>INDEX($H$169:$H$176,$E216+1,1)</f>
        <v>Export wether grid (4)</v>
      </c>
      <c r="I216" s="198">
        <v>35</v>
      </c>
      <c r="J216" s="199">
        <v>0.01</v>
      </c>
      <c r="K216" s="157">
        <v>0.01</v>
      </c>
      <c r="L216" s="157">
        <v>0.01</v>
      </c>
      <c r="M216" s="157">
        <f>$I216*2.5</f>
        <v>87.5</v>
      </c>
      <c r="N216" s="200">
        <f t="shared" ref="N216:N222" si="37">$I216*2.5</f>
        <v>87.5</v>
      </c>
      <c r="O216" s="201">
        <v>0</v>
      </c>
      <c r="P216" s="202"/>
      <c r="Q216" s="203">
        <f>SQRT(J216*MAX($J216:$N216)/(MAX(J216:J222)*MAX($J216:$N222)))</f>
        <v>0.76376261582597338</v>
      </c>
      <c r="R216" s="204">
        <f>SQRT(K216*MAX($J216:$N216)/(MAX(K216:K222)*MAX($J216:$N222)))</f>
        <v>0.76376261582597338</v>
      </c>
      <c r="S216" s="204">
        <f>SQRT(L216*MAX($J216:$N216)/(MAX(L216:L222)*MAX($J216:$N222)))</f>
        <v>0.76376261582597338</v>
      </c>
      <c r="T216" s="204">
        <f>SQRT(M216*MAX($J216:$N216)/(MAX(M216:M222)*MAX($J216:$N222)))</f>
        <v>0.58333333333333337</v>
      </c>
      <c r="U216" s="205">
        <f>SQRT(N216*MAX($J216:$N216)/(MAX(N216:N222)*MAX($J216:$N222)))</f>
        <v>0.58333333333333337</v>
      </c>
      <c r="V216" s="206">
        <v>0</v>
      </c>
      <c r="W216" s="202"/>
      <c r="X216" s="207">
        <f>SQRT(J216*MAX(J216:J222)/(MAX($J216:$N216)*MAX($J216:$N222)))</f>
        <v>8.728715609439695E-5</v>
      </c>
      <c r="Y216" s="208">
        <f>SQRT(K216*MAX(K216:K222)/(MAX($J216:$N216)*MAX($J216:$N222)))</f>
        <v>8.728715609439695E-5</v>
      </c>
      <c r="Z216" s="208">
        <f>SQRT(L216*MAX(L216:L222)/(MAX($J216:$N216)*MAX($J216:$N222)))</f>
        <v>8.728715609439695E-5</v>
      </c>
      <c r="AA216" s="208">
        <f>SQRT(M216*MAX(M216:M222)/(MAX($J216:$N216)*MAX($J216:$N222)))</f>
        <v>1</v>
      </c>
      <c r="AB216" s="209">
        <f>SQRT(N216*MAX(N216:N222)/(MAX($J216:$N216)*MAX($J216:$N222)))</f>
        <v>1</v>
      </c>
      <c r="AC216" s="206">
        <v>0</v>
      </c>
      <c r="AD216" s="87"/>
      <c r="AE216" s="87"/>
      <c r="AF216" s="87"/>
      <c r="AG216" s="87"/>
      <c r="AH216" s="84"/>
      <c r="AI216" s="66"/>
      <c r="AJ216" s="54"/>
      <c r="AK216" s="54"/>
      <c r="AL216" s="54"/>
    </row>
    <row r="217" spans="1:38" hidden="1" outlineLevel="3" x14ac:dyDescent="0.25">
      <c r="A217" s="54"/>
      <c r="B217" s="63"/>
      <c r="C217" s="99">
        <f t="shared" ref="C217:C223" si="38">INT($C$153)+3</f>
        <v>4</v>
      </c>
      <c r="D217" s="84"/>
      <c r="E217" s="79"/>
      <c r="F217" s="79">
        <f>F216</f>
        <v>4</v>
      </c>
      <c r="G217" s="84"/>
      <c r="H217" s="210" t="str">
        <f>INDEX($M$161:$M$163,INDEX(i_salep_price_type_s7,$F217+1,1)+1,1)&amp;INDEX($L$161:$L$163,INDEX(ia_s8_s7,$F217+1,1)+1,1)</f>
        <v>$/hd, LW - Condition score</v>
      </c>
      <c r="I217" s="198">
        <v>40</v>
      </c>
      <c r="J217" s="211">
        <f t="shared" ref="J217:L222" si="39">J216</f>
        <v>0.01</v>
      </c>
      <c r="K217" s="111">
        <f t="shared" si="39"/>
        <v>0.01</v>
      </c>
      <c r="L217" s="111">
        <f t="shared" si="39"/>
        <v>0.01</v>
      </c>
      <c r="M217" s="111">
        <f t="shared" ref="M217:M222" si="40">$I217*2.5</f>
        <v>100</v>
      </c>
      <c r="N217" s="212">
        <f t="shared" si="37"/>
        <v>100</v>
      </c>
      <c r="O217" s="201">
        <v>0</v>
      </c>
      <c r="P217" s="202"/>
      <c r="Q217" s="213">
        <f>SQRT(J217*MAX($J217:$N217)/(MAX(J216:J222)*MAX($J216:$N222)))</f>
        <v>0.81649658092772603</v>
      </c>
      <c r="R217" s="214">
        <f>SQRT(K217*MAX($J217:$N217)/(MAX(K216:K222)*MAX($J216:$N222)))</f>
        <v>0.81649658092772603</v>
      </c>
      <c r="S217" s="214">
        <f>SQRT(L217*MAX($J217:$N217)/(MAX(L216:L222)*MAX($J216:$N222)))</f>
        <v>0.81649658092772603</v>
      </c>
      <c r="T217" s="214">
        <f>SQRT(M217*MAX($J217:$N217)/(MAX(M216:M222)*MAX($J216:$N222)))</f>
        <v>0.66666666666666663</v>
      </c>
      <c r="U217" s="215">
        <f>SQRT(N217*MAX($J217:$N217)/(MAX(N216:N222)*MAX($J216:$N222)))</f>
        <v>0.66666666666666663</v>
      </c>
      <c r="V217" s="206">
        <v>0</v>
      </c>
      <c r="W217" s="202"/>
      <c r="X217" s="216">
        <f>SQRT(J217*MAX(J216:J222)/(MAX($J217:$N217)*MAX($J216:$N222)))</f>
        <v>8.1649658092772609E-5</v>
      </c>
      <c r="Y217" s="217">
        <f>SQRT(K217*MAX(K216:K222)/(MAX($J217:$N217)*MAX($J216:$N222)))</f>
        <v>8.1649658092772609E-5</v>
      </c>
      <c r="Z217" s="217">
        <f>SQRT(L217*MAX(L216:L222)/(MAX($J217:$N217)*MAX($J216:$N222)))</f>
        <v>8.1649658092772609E-5</v>
      </c>
      <c r="AA217" s="217">
        <f>SQRT(M217*MAX(M216:M222)/(MAX($J217:$N217)*MAX($J216:$N222)))</f>
        <v>1</v>
      </c>
      <c r="AB217" s="218">
        <f>SQRT(N217*MAX(N216:N222)/(MAX($J217:$N217)*MAX($J216:$N222)))</f>
        <v>1</v>
      </c>
      <c r="AC217" s="206">
        <v>0</v>
      </c>
      <c r="AD217" s="87"/>
      <c r="AE217" s="87"/>
      <c r="AF217" s="87"/>
      <c r="AG217" s="87"/>
      <c r="AH217" s="84"/>
      <c r="AI217" s="66"/>
      <c r="AJ217" s="54"/>
      <c r="AK217" s="54"/>
      <c r="AL217" s="54"/>
    </row>
    <row r="218" spans="1:38" hidden="1" outlineLevel="3" x14ac:dyDescent="0.25">
      <c r="A218" s="54"/>
      <c r="B218" s="63"/>
      <c r="C218" s="99">
        <f t="shared" si="38"/>
        <v>4</v>
      </c>
      <c r="D218" s="84"/>
      <c r="E218" s="79"/>
      <c r="F218" s="79">
        <f t="shared" si="33"/>
        <v>4</v>
      </c>
      <c r="G218" s="84"/>
      <c r="H218" s="109" t="s">
        <v>346</v>
      </c>
      <c r="I218" s="198">
        <v>45</v>
      </c>
      <c r="J218" s="211">
        <f t="shared" si="39"/>
        <v>0.01</v>
      </c>
      <c r="K218" s="111">
        <f t="shared" si="39"/>
        <v>0.01</v>
      </c>
      <c r="L218" s="111">
        <f t="shared" si="39"/>
        <v>0.01</v>
      </c>
      <c r="M218" s="111">
        <f t="shared" si="40"/>
        <v>112.5</v>
      </c>
      <c r="N218" s="212">
        <f t="shared" si="37"/>
        <v>112.5</v>
      </c>
      <c r="O218" s="201">
        <v>0</v>
      </c>
      <c r="P218" s="202"/>
      <c r="Q218" s="213">
        <f>SQRT(J218*MAX($J218:$N218)/(MAX(J216:J222)*MAX($J216:$N222)))</f>
        <v>0.8660254037844386</v>
      </c>
      <c r="R218" s="214">
        <f>SQRT(K218*MAX($J218:$N218)/(MAX(K216:K222)*MAX($J216:$N222)))</f>
        <v>0.8660254037844386</v>
      </c>
      <c r="S218" s="214">
        <f>SQRT(L218*MAX($J218:$N218)/(MAX(L216:L222)*MAX($J216:$N222)))</f>
        <v>0.8660254037844386</v>
      </c>
      <c r="T218" s="214">
        <f>SQRT(M218*MAX($J218:$N218)/(MAX(M216:M222)*MAX($J216:$N222)))</f>
        <v>0.75</v>
      </c>
      <c r="U218" s="215">
        <f>SQRT(N218*MAX($J218:$N218)/(MAX(N216:N222)*MAX($J216:$N222)))</f>
        <v>0.75</v>
      </c>
      <c r="V218" s="206">
        <v>0</v>
      </c>
      <c r="W218" s="202"/>
      <c r="X218" s="216">
        <f>SQRT(J218*MAX(J216:J222)/(MAX($J218:$N218)*MAX($J216:$N222)))</f>
        <v>7.6980035891950109E-5</v>
      </c>
      <c r="Y218" s="217">
        <f>SQRT(K218*MAX(K216:K222)/(MAX($J218:$N218)*MAX($J216:$N222)))</f>
        <v>7.6980035891950109E-5</v>
      </c>
      <c r="Z218" s="217">
        <f>SQRT(L218*MAX(L216:L222)/(MAX($J218:$N218)*MAX($J216:$N222)))</f>
        <v>7.6980035891950109E-5</v>
      </c>
      <c r="AA218" s="217">
        <f>SQRT(M218*MAX(M216:M222)/(MAX($J218:$N218)*MAX($J216:$N222)))</f>
        <v>1</v>
      </c>
      <c r="AB218" s="218">
        <f>SQRT(N218*MAX(N216:N222)/(MAX($J218:$N218)*MAX($J216:$N222)))</f>
        <v>1</v>
      </c>
      <c r="AC218" s="206">
        <v>0</v>
      </c>
      <c r="AD218" s="87"/>
      <c r="AE218" s="87"/>
      <c r="AF218" s="87"/>
      <c r="AG218" s="87"/>
      <c r="AH218" s="84"/>
      <c r="AI218" s="66"/>
      <c r="AJ218" s="54"/>
      <c r="AK218" s="54"/>
      <c r="AL218" s="54"/>
    </row>
    <row r="219" spans="1:38" hidden="1" outlineLevel="3" x14ac:dyDescent="0.25">
      <c r="A219" s="54"/>
      <c r="B219" s="63"/>
      <c r="C219" s="99">
        <f t="shared" si="38"/>
        <v>4</v>
      </c>
      <c r="D219" s="84"/>
      <c r="E219" s="79"/>
      <c r="F219" s="79">
        <f t="shared" si="33"/>
        <v>4</v>
      </c>
      <c r="G219" s="84"/>
      <c r="H219" s="87"/>
      <c r="I219" s="198">
        <v>50</v>
      </c>
      <c r="J219" s="211">
        <f t="shared" si="39"/>
        <v>0.01</v>
      </c>
      <c r="K219" s="111">
        <f t="shared" si="39"/>
        <v>0.01</v>
      </c>
      <c r="L219" s="111">
        <f t="shared" si="39"/>
        <v>0.01</v>
      </c>
      <c r="M219" s="111">
        <f t="shared" si="40"/>
        <v>125</v>
      </c>
      <c r="N219" s="212">
        <f t="shared" si="37"/>
        <v>125</v>
      </c>
      <c r="O219" s="201">
        <v>0</v>
      </c>
      <c r="P219" s="202"/>
      <c r="Q219" s="213">
        <f>SQRT(J219*MAX($J219:$N219)/(MAX(J216:J222)*MAX($J216:$N222)))</f>
        <v>0.9128709291752769</v>
      </c>
      <c r="R219" s="214">
        <f>SQRT(K219*MAX($J219:$N219)/(MAX(K216:K222)*MAX($J216:$N222)))</f>
        <v>0.9128709291752769</v>
      </c>
      <c r="S219" s="214">
        <f>SQRT(L219*MAX($J219:$N219)/(MAX(L216:L222)*MAX($J216:$N222)))</f>
        <v>0.9128709291752769</v>
      </c>
      <c r="T219" s="214">
        <f>SQRT(M219*MAX($J219:$N219)/(MAX(M216:M222)*MAX($J216:$N222)))</f>
        <v>0.83333333333333337</v>
      </c>
      <c r="U219" s="215">
        <f>SQRT(N219*MAX($J219:$N219)/(MAX(N216:N222)*MAX($J216:$N222)))</f>
        <v>0.83333333333333337</v>
      </c>
      <c r="V219" s="206">
        <v>0</v>
      </c>
      <c r="W219" s="202"/>
      <c r="X219" s="216">
        <f>SQRT(J219*MAX(J216:J222)/(MAX($J219:$N219)*MAX($J216:$N222)))</f>
        <v>7.3029674334022156E-5</v>
      </c>
      <c r="Y219" s="217">
        <f>SQRT(K219*MAX(K216:K222)/(MAX($J219:$N219)*MAX($J216:$N222)))</f>
        <v>7.3029674334022156E-5</v>
      </c>
      <c r="Z219" s="217">
        <f>SQRT(L219*MAX(L216:L222)/(MAX($J219:$N219)*MAX($J216:$N222)))</f>
        <v>7.3029674334022156E-5</v>
      </c>
      <c r="AA219" s="217">
        <f>SQRT(M219*MAX(M216:M222)/(MAX($J219:$N219)*MAX($J216:$N222)))</f>
        <v>1</v>
      </c>
      <c r="AB219" s="218">
        <f>SQRT(N219*MAX(N216:N222)/(MAX($J219:$N219)*MAX($J216:$N222)))</f>
        <v>1</v>
      </c>
      <c r="AC219" s="206">
        <v>0</v>
      </c>
      <c r="AD219" s="87"/>
      <c r="AE219" s="87"/>
      <c r="AF219" s="87"/>
      <c r="AG219" s="87"/>
      <c r="AH219" s="84"/>
      <c r="AI219" s="66"/>
      <c r="AJ219" s="54"/>
      <c r="AK219" s="54"/>
      <c r="AL219" s="54"/>
    </row>
    <row r="220" spans="1:38" hidden="1" outlineLevel="3" x14ac:dyDescent="0.25">
      <c r="A220" s="54"/>
      <c r="B220" s="63"/>
      <c r="C220" s="99">
        <f t="shared" si="38"/>
        <v>4</v>
      </c>
      <c r="D220" s="84"/>
      <c r="E220" s="79"/>
      <c r="F220" s="79">
        <f t="shared" si="33"/>
        <v>4</v>
      </c>
      <c r="G220" s="84"/>
      <c r="H220" s="87"/>
      <c r="I220" s="198">
        <v>55</v>
      </c>
      <c r="J220" s="211">
        <f t="shared" si="39"/>
        <v>0.01</v>
      </c>
      <c r="K220" s="111">
        <f t="shared" si="39"/>
        <v>0.01</v>
      </c>
      <c r="L220" s="111">
        <f t="shared" si="39"/>
        <v>0.01</v>
      </c>
      <c r="M220" s="111">
        <f t="shared" si="40"/>
        <v>137.5</v>
      </c>
      <c r="N220" s="212">
        <f t="shared" si="37"/>
        <v>137.5</v>
      </c>
      <c r="O220" s="201">
        <v>0</v>
      </c>
      <c r="P220" s="202"/>
      <c r="Q220" s="213">
        <f>SQRT(J220*MAX($J220:$N220)/(MAX(J216:J222)*MAX($J216:$N222)))</f>
        <v>0.9574271077563381</v>
      </c>
      <c r="R220" s="214">
        <f>SQRT(K220*MAX($J220:$N220)/(MAX(K216:K222)*MAX($J216:$N222)))</f>
        <v>0.9574271077563381</v>
      </c>
      <c r="S220" s="214">
        <f>SQRT(L220*MAX($J220:$N220)/(MAX(L216:L222)*MAX($J216:$N222)))</f>
        <v>0.9574271077563381</v>
      </c>
      <c r="T220" s="214">
        <f>SQRT(M220*MAX($J220:$N220)/(MAX(M216:M222)*MAX($J216:$N222)))</f>
        <v>0.91666666666666663</v>
      </c>
      <c r="U220" s="215">
        <f>SQRT(N220*MAX($J220:$N220)/(MAX(N216:N222)*MAX($J216:$N222)))</f>
        <v>0.91666666666666663</v>
      </c>
      <c r="V220" s="206">
        <v>0</v>
      </c>
      <c r="W220" s="202"/>
      <c r="X220" s="216">
        <f>SQRT(J220*MAX(J216:J222)/(MAX($J220:$N220)*MAX($J216:$N222)))</f>
        <v>6.9631062382279136E-5</v>
      </c>
      <c r="Y220" s="217">
        <f>SQRT(K220*MAX(K216:K222)/(MAX($J220:$N220)*MAX($J216:$N222)))</f>
        <v>6.9631062382279136E-5</v>
      </c>
      <c r="Z220" s="217">
        <f>SQRT(L220*MAX(L216:L222)/(MAX($J220:$N220)*MAX($J216:$N222)))</f>
        <v>6.9631062382279136E-5</v>
      </c>
      <c r="AA220" s="217">
        <f>SQRT(M220*MAX(M216:M222)/(MAX($J220:$N220)*MAX($J216:$N222)))</f>
        <v>1</v>
      </c>
      <c r="AB220" s="218">
        <f>SQRT(N220*MAX(N216:N222)/(MAX($J220:$N220)*MAX($J216:$N222)))</f>
        <v>1</v>
      </c>
      <c r="AC220" s="206">
        <v>0</v>
      </c>
      <c r="AD220" s="87"/>
      <c r="AE220" s="87"/>
      <c r="AF220" s="87"/>
      <c r="AG220" s="87"/>
      <c r="AH220" s="84"/>
      <c r="AI220" s="66"/>
      <c r="AJ220" s="54"/>
      <c r="AK220" s="54"/>
      <c r="AL220" s="54"/>
    </row>
    <row r="221" spans="1:38" hidden="1" outlineLevel="3" x14ac:dyDescent="0.25">
      <c r="A221" s="54"/>
      <c r="B221" s="63"/>
      <c r="C221" s="99">
        <f t="shared" si="38"/>
        <v>4</v>
      </c>
      <c r="D221" s="84"/>
      <c r="E221" s="79"/>
      <c r="F221" s="79">
        <f t="shared" si="33"/>
        <v>4</v>
      </c>
      <c r="G221" s="84"/>
      <c r="H221" s="87"/>
      <c r="I221" s="198">
        <v>60</v>
      </c>
      <c r="J221" s="211">
        <f t="shared" si="39"/>
        <v>0.01</v>
      </c>
      <c r="K221" s="111">
        <f t="shared" si="39"/>
        <v>0.01</v>
      </c>
      <c r="L221" s="111">
        <f t="shared" si="39"/>
        <v>0.01</v>
      </c>
      <c r="M221" s="111">
        <f t="shared" si="40"/>
        <v>150</v>
      </c>
      <c r="N221" s="212">
        <f t="shared" si="37"/>
        <v>150</v>
      </c>
      <c r="O221" s="201">
        <v>0</v>
      </c>
      <c r="P221" s="202"/>
      <c r="Q221" s="213">
        <f>SQRT(J221*MAX($J221:$N221)/(MAX(J216:J222)*MAX($J216:$N222)))</f>
        <v>1</v>
      </c>
      <c r="R221" s="214">
        <f>SQRT(K221*MAX($J221:$N221)/(MAX(K216:K222)*MAX($J216:$N222)))</f>
        <v>1</v>
      </c>
      <c r="S221" s="214">
        <f>SQRT(L221*MAX($J221:$N221)/(MAX(L216:L222)*MAX($J216:$N222)))</f>
        <v>1</v>
      </c>
      <c r="T221" s="214">
        <f>SQRT(M221*MAX($J221:$N221)/(MAX(M216:M222)*MAX($J216:$N222)))</f>
        <v>1</v>
      </c>
      <c r="U221" s="215">
        <f>SQRT(N221*MAX($J221:$N221)/(MAX(N216:N222)*MAX($J216:$N222)))</f>
        <v>1</v>
      </c>
      <c r="V221" s="206">
        <v>0</v>
      </c>
      <c r="W221" s="202"/>
      <c r="X221" s="216">
        <f>SQRT(J221*MAX(J216:J222)/(MAX($J221:$N221)*MAX($J216:$N222)))</f>
        <v>6.666666666666667E-5</v>
      </c>
      <c r="Y221" s="217">
        <f>SQRT(K221*MAX(K216:K222)/(MAX($J221:$N221)*MAX($J216:$N222)))</f>
        <v>6.666666666666667E-5</v>
      </c>
      <c r="Z221" s="217">
        <f>SQRT(L221*MAX(L216:L222)/(MAX($J221:$N221)*MAX($J216:$N222)))</f>
        <v>6.666666666666667E-5</v>
      </c>
      <c r="AA221" s="217">
        <f>SQRT(M221*MAX(M216:M222)/(MAX($J221:$N221)*MAX($J216:$N222)))</f>
        <v>1</v>
      </c>
      <c r="AB221" s="218">
        <f>SQRT(N221*MAX(N216:N222)/(MAX($J221:$N221)*MAX($J216:$N222)))</f>
        <v>1</v>
      </c>
      <c r="AC221" s="206">
        <v>0</v>
      </c>
      <c r="AD221" s="87"/>
      <c r="AE221" s="87"/>
      <c r="AF221" s="87"/>
      <c r="AG221" s="87"/>
      <c r="AH221" s="84"/>
      <c r="AI221" s="66"/>
      <c r="AJ221" s="54"/>
      <c r="AK221" s="54"/>
      <c r="AL221" s="54"/>
    </row>
    <row r="222" spans="1:38" hidden="1" outlineLevel="3" x14ac:dyDescent="0.25">
      <c r="A222" s="54"/>
      <c r="B222" s="63"/>
      <c r="C222" s="99">
        <f t="shared" si="38"/>
        <v>4</v>
      </c>
      <c r="D222" s="84"/>
      <c r="E222" s="79"/>
      <c r="F222" s="79">
        <f t="shared" si="33"/>
        <v>4</v>
      </c>
      <c r="G222" s="84"/>
      <c r="H222" s="87"/>
      <c r="I222" s="198">
        <f>I221</f>
        <v>60</v>
      </c>
      <c r="J222" s="219">
        <f t="shared" si="39"/>
        <v>0.01</v>
      </c>
      <c r="K222" s="188">
        <f t="shared" si="39"/>
        <v>0.01</v>
      </c>
      <c r="L222" s="188">
        <f t="shared" si="39"/>
        <v>0.01</v>
      </c>
      <c r="M222" s="188">
        <f t="shared" si="40"/>
        <v>150</v>
      </c>
      <c r="N222" s="220">
        <f t="shared" si="37"/>
        <v>150</v>
      </c>
      <c r="O222" s="201">
        <v>0</v>
      </c>
      <c r="P222" s="202"/>
      <c r="Q222" s="221">
        <f>SQRT(J222*MAX($J222:$N222)/(MAX(J216:J222)*MAX($J216:$N222)))</f>
        <v>1</v>
      </c>
      <c r="R222" s="222">
        <f>SQRT(K222*MAX($J222:$N222)/(MAX(K216:K222)*MAX($J216:$N222)))</f>
        <v>1</v>
      </c>
      <c r="S222" s="222">
        <f>SQRT(L222*MAX($J222:$N222)/(MAX(L216:L222)*MAX($J216:$N222)))</f>
        <v>1</v>
      </c>
      <c r="T222" s="222">
        <f>SQRT(M222*MAX($J222:$N222)/(MAX(M216:M222)*MAX($J216:$N222)))</f>
        <v>1</v>
      </c>
      <c r="U222" s="223">
        <f>SQRT(N222*MAX($J222:$N222)/(MAX(N216:N222)*MAX($J216:$N222)))</f>
        <v>1</v>
      </c>
      <c r="V222" s="206">
        <v>0</v>
      </c>
      <c r="W222" s="202"/>
      <c r="X222" s="224">
        <f>SQRT(J222*MAX(J216:J222)/(MAX($J222:$N222)*MAX($J216:$N222)))</f>
        <v>6.666666666666667E-5</v>
      </c>
      <c r="Y222" s="225">
        <f>SQRT(K222*MAX(K216:K222)/(MAX($J222:$N222)*MAX($J216:$N222)))</f>
        <v>6.666666666666667E-5</v>
      </c>
      <c r="Z222" s="225">
        <f>SQRT(L222*MAX(L216:L222)/(MAX($J222:$N222)*MAX($J216:$N222)))</f>
        <v>6.666666666666667E-5</v>
      </c>
      <c r="AA222" s="225">
        <f>SQRT(M222*MAX(M216:M222)/(MAX($J222:$N222)*MAX($J216:$N222)))</f>
        <v>1</v>
      </c>
      <c r="AB222" s="226">
        <f>SQRT(N222*MAX(N216:N222)/(MAX($J222:$N222)*MAX($J216:$N222)))</f>
        <v>1</v>
      </c>
      <c r="AC222" s="206">
        <v>0</v>
      </c>
      <c r="AD222" s="87"/>
      <c r="AE222" s="87"/>
      <c r="AF222" s="87"/>
      <c r="AG222" s="87"/>
      <c r="AH222" s="84"/>
      <c r="AI222" s="66"/>
      <c r="AJ222" s="54"/>
      <c r="AK222" s="54"/>
      <c r="AL222" s="54"/>
    </row>
    <row r="223" spans="1:38" hidden="1" outlineLevel="3" x14ac:dyDescent="0.25">
      <c r="A223" s="54"/>
      <c r="B223" s="63"/>
      <c r="C223" s="99">
        <f t="shared" si="38"/>
        <v>4</v>
      </c>
      <c r="D223" s="84"/>
      <c r="E223" s="79"/>
      <c r="F223" s="79">
        <f t="shared" si="33"/>
        <v>4</v>
      </c>
      <c r="G223" s="84"/>
      <c r="H223" s="87"/>
      <c r="I223" s="108">
        <v>1000</v>
      </c>
      <c r="J223" s="227">
        <v>0</v>
      </c>
      <c r="K223" s="227">
        <v>0</v>
      </c>
      <c r="L223" s="227">
        <v>0</v>
      </c>
      <c r="M223" s="227">
        <v>0</v>
      </c>
      <c r="N223" s="227">
        <v>0</v>
      </c>
      <c r="O223" s="108">
        <v>0</v>
      </c>
      <c r="P223" s="87"/>
      <c r="Q223" s="228">
        <v>0</v>
      </c>
      <c r="R223" s="228">
        <v>0</v>
      </c>
      <c r="S223" s="228">
        <v>0</v>
      </c>
      <c r="T223" s="228">
        <v>0</v>
      </c>
      <c r="U223" s="228">
        <v>0</v>
      </c>
      <c r="V223" s="91">
        <v>0</v>
      </c>
      <c r="W223" s="87"/>
      <c r="X223" s="228">
        <v>0</v>
      </c>
      <c r="Y223" s="228">
        <v>0</v>
      </c>
      <c r="Z223" s="228">
        <v>0</v>
      </c>
      <c r="AA223" s="228">
        <v>0</v>
      </c>
      <c r="AB223" s="228">
        <v>0</v>
      </c>
      <c r="AC223" s="91">
        <v>0</v>
      </c>
      <c r="AD223" s="87"/>
      <c r="AE223" s="87"/>
      <c r="AF223" s="87"/>
      <c r="AG223" s="87"/>
      <c r="AH223" s="84"/>
      <c r="AI223" s="66"/>
      <c r="AJ223" s="54"/>
      <c r="AK223" s="54"/>
      <c r="AL223" s="54"/>
    </row>
    <row r="224" spans="1:38" hidden="1" outlineLevel="2" x14ac:dyDescent="0.25">
      <c r="A224" s="54"/>
      <c r="B224" s="63"/>
      <c r="C224" s="99">
        <f>INT($C$153)+2</f>
        <v>3</v>
      </c>
      <c r="D224" s="84"/>
      <c r="E224" s="79">
        <v>5</v>
      </c>
      <c r="F224" s="79">
        <f>E224</f>
        <v>5</v>
      </c>
      <c r="G224" s="84"/>
      <c r="H224" s="108" t="str">
        <f>INDEX($H$169:$H$176,$E224+1,1)</f>
        <v>Breeder grid (5)</v>
      </c>
      <c r="I224" s="198">
        <v>40</v>
      </c>
      <c r="J224" s="199">
        <v>0.01</v>
      </c>
      <c r="K224" s="157">
        <v>0.01</v>
      </c>
      <c r="L224" s="157">
        <v>180</v>
      </c>
      <c r="M224" s="157">
        <v>200</v>
      </c>
      <c r="N224" s="200">
        <v>220</v>
      </c>
      <c r="O224" s="201">
        <v>0</v>
      </c>
      <c r="P224" s="202"/>
      <c r="Q224" s="203">
        <f>SQRT(J224*MAX($J224:$N224)/(MAX(J224:J230)*MAX($J224:$N230)))</f>
        <v>1</v>
      </c>
      <c r="R224" s="204">
        <f>SQRT(K224*MAX($J224:$N224)/(MAX(K224:K230)*MAX($J224:$N230)))</f>
        <v>1</v>
      </c>
      <c r="S224" s="204">
        <f>SQRT(L224*MAX($J224:$N224)/(MAX(L224:L230)*MAX($J224:$N230)))</f>
        <v>1</v>
      </c>
      <c r="T224" s="204">
        <f>SQRT(M224*MAX($J224:$N224)/(MAX(M224:M230)*MAX($J224:$N230)))</f>
        <v>1</v>
      </c>
      <c r="U224" s="205">
        <f>SQRT(N224*MAX($J224:$N224)/(MAX(N224:N230)*MAX($J224:$N230)))</f>
        <v>1</v>
      </c>
      <c r="V224" s="206">
        <v>0</v>
      </c>
      <c r="W224" s="202"/>
      <c r="X224" s="207">
        <f>SQRT(J224*MAX(J224:J230)/(MAX($J224:$N224)*MAX($J224:$N230)))</f>
        <v>4.5454545454545452E-5</v>
      </c>
      <c r="Y224" s="208">
        <f>SQRT(K224*MAX(K224:K230)/(MAX($J224:$N224)*MAX($J224:$N230)))</f>
        <v>4.5454545454545452E-5</v>
      </c>
      <c r="Z224" s="208">
        <f>SQRT(L224*MAX(L224:L230)/(MAX($J224:$N224)*MAX($J224:$N230)))</f>
        <v>0.81818181818181812</v>
      </c>
      <c r="AA224" s="208">
        <f>SQRT(M224*MAX(M224:M230)/(MAX($J224:$N224)*MAX($J224:$N230)))</f>
        <v>0.90909090909090906</v>
      </c>
      <c r="AB224" s="209">
        <f>SQRT(N224*MAX(N224:N230)/(MAX($J224:$N224)*MAX($J224:$N230)))</f>
        <v>1</v>
      </c>
      <c r="AC224" s="206">
        <v>0</v>
      </c>
      <c r="AD224" s="87"/>
      <c r="AE224" s="87"/>
      <c r="AF224" s="87"/>
      <c r="AG224" s="87"/>
      <c r="AH224" s="84"/>
      <c r="AI224" s="66"/>
      <c r="AJ224" s="54"/>
      <c r="AK224" s="54"/>
      <c r="AL224" s="54"/>
    </row>
    <row r="225" spans="1:38" hidden="1" outlineLevel="3" x14ac:dyDescent="0.25">
      <c r="A225" s="54"/>
      <c r="B225" s="63"/>
      <c r="C225" s="99">
        <f t="shared" ref="C225:C231" si="41">INT($C$153)+3</f>
        <v>4</v>
      </c>
      <c r="D225" s="84"/>
      <c r="E225" s="79"/>
      <c r="F225" s="79">
        <f>F224</f>
        <v>5</v>
      </c>
      <c r="G225" s="84"/>
      <c r="H225" s="210" t="str">
        <f>INDEX($M$161:$M$163,INDEX(i_salep_price_type_s7,$F225+1,1)+1,1)&amp;INDEX($L$161:$L$163,INDEX(ia_s8_s7,$F225+1,1)+1,1)</f>
        <v>$/hd, LW - Condition score</v>
      </c>
      <c r="I225" s="198">
        <f t="shared" ref="I225:N230" si="42">I224</f>
        <v>40</v>
      </c>
      <c r="J225" s="211">
        <f t="shared" si="42"/>
        <v>0.01</v>
      </c>
      <c r="K225" s="111">
        <f t="shared" si="42"/>
        <v>0.01</v>
      </c>
      <c r="L225" s="111">
        <f t="shared" si="42"/>
        <v>180</v>
      </c>
      <c r="M225" s="111">
        <f t="shared" si="42"/>
        <v>200</v>
      </c>
      <c r="N225" s="212">
        <f t="shared" si="42"/>
        <v>220</v>
      </c>
      <c r="O225" s="201">
        <v>0</v>
      </c>
      <c r="P225" s="202"/>
      <c r="Q225" s="213">
        <f>SQRT(J225*MAX($J225:$N225)/(MAX(J224:J230)*MAX($J224:$N230)))</f>
        <v>1</v>
      </c>
      <c r="R225" s="214">
        <f>SQRT(K225*MAX($J225:$N225)/(MAX(K224:K230)*MAX($J224:$N230)))</f>
        <v>1</v>
      </c>
      <c r="S225" s="214">
        <f>SQRT(L225*MAX($J225:$N225)/(MAX(L224:L230)*MAX($J224:$N230)))</f>
        <v>1</v>
      </c>
      <c r="T225" s="214">
        <f>SQRT(M225*MAX($J225:$N225)/(MAX(M224:M230)*MAX($J224:$N230)))</f>
        <v>1</v>
      </c>
      <c r="U225" s="215">
        <f>SQRT(N225*MAX($J225:$N225)/(MAX(N224:N230)*MAX($J224:$N230)))</f>
        <v>1</v>
      </c>
      <c r="V225" s="206">
        <v>0</v>
      </c>
      <c r="W225" s="202"/>
      <c r="X225" s="216">
        <f>SQRT(J225*MAX(J224:J230)/(MAX($J225:$N225)*MAX($J224:$N230)))</f>
        <v>4.5454545454545452E-5</v>
      </c>
      <c r="Y225" s="217">
        <f>SQRT(K225*MAX(K224:K230)/(MAX($J225:$N225)*MAX($J224:$N230)))</f>
        <v>4.5454545454545452E-5</v>
      </c>
      <c r="Z225" s="217">
        <f>SQRT(L225*MAX(L224:L230)/(MAX($J225:$N225)*MAX($J224:$N230)))</f>
        <v>0.81818181818181812</v>
      </c>
      <c r="AA225" s="217">
        <f>SQRT(M225*MAX(M224:M230)/(MAX($J225:$N225)*MAX($J224:$N230)))</f>
        <v>0.90909090909090906</v>
      </c>
      <c r="AB225" s="218">
        <f>SQRT(N225*MAX(N224:N230)/(MAX($J225:$N225)*MAX($J224:$N230)))</f>
        <v>1</v>
      </c>
      <c r="AC225" s="206">
        <v>0</v>
      </c>
      <c r="AD225" s="87"/>
      <c r="AE225" s="87"/>
      <c r="AF225" s="87"/>
      <c r="AG225" s="87"/>
      <c r="AH225" s="84"/>
      <c r="AI225" s="66"/>
      <c r="AJ225" s="54"/>
      <c r="AK225" s="54"/>
      <c r="AL225" s="54"/>
    </row>
    <row r="226" spans="1:38" hidden="1" outlineLevel="3" x14ac:dyDescent="0.25">
      <c r="A226" s="54"/>
      <c r="B226" s="63"/>
      <c r="C226" s="99">
        <f t="shared" si="41"/>
        <v>4</v>
      </c>
      <c r="D226" s="84"/>
      <c r="E226" s="79"/>
      <c r="F226" s="79">
        <f t="shared" si="33"/>
        <v>5</v>
      </c>
      <c r="G226" s="84"/>
      <c r="H226" s="109" t="s">
        <v>347</v>
      </c>
      <c r="I226" s="198">
        <f t="shared" si="42"/>
        <v>40</v>
      </c>
      <c r="J226" s="211">
        <f t="shared" si="42"/>
        <v>0.01</v>
      </c>
      <c r="K226" s="111">
        <f t="shared" si="42"/>
        <v>0.01</v>
      </c>
      <c r="L226" s="111">
        <f t="shared" si="42"/>
        <v>180</v>
      </c>
      <c r="M226" s="111">
        <f t="shared" si="42"/>
        <v>200</v>
      </c>
      <c r="N226" s="212">
        <f t="shared" si="42"/>
        <v>220</v>
      </c>
      <c r="O226" s="201">
        <v>0</v>
      </c>
      <c r="P226" s="202"/>
      <c r="Q226" s="213">
        <f>SQRT(J226*MAX($J226:$N226)/(MAX(J224:J230)*MAX($J224:$N230)))</f>
        <v>1</v>
      </c>
      <c r="R226" s="214">
        <f>SQRT(K226*MAX($J226:$N226)/(MAX(K224:K230)*MAX($J224:$N230)))</f>
        <v>1</v>
      </c>
      <c r="S226" s="214">
        <f>SQRT(L226*MAX($J226:$N226)/(MAX(L224:L230)*MAX($J224:$N230)))</f>
        <v>1</v>
      </c>
      <c r="T226" s="214">
        <f>SQRT(M226*MAX($J226:$N226)/(MAX(M224:M230)*MAX($J224:$N230)))</f>
        <v>1</v>
      </c>
      <c r="U226" s="215">
        <f>SQRT(N226*MAX($J226:$N226)/(MAX(N224:N230)*MAX($J224:$N230)))</f>
        <v>1</v>
      </c>
      <c r="V226" s="206">
        <v>0</v>
      </c>
      <c r="W226" s="202"/>
      <c r="X226" s="216">
        <f>SQRT(J226*MAX(J224:J230)/(MAX($J226:$N226)*MAX($J224:$N230)))</f>
        <v>4.5454545454545452E-5</v>
      </c>
      <c r="Y226" s="217">
        <f>SQRT(K226*MAX(K224:K230)/(MAX($J226:$N226)*MAX($J224:$N230)))</f>
        <v>4.5454545454545452E-5</v>
      </c>
      <c r="Z226" s="217">
        <f>SQRT(L226*MAX(L224:L230)/(MAX($J226:$N226)*MAX($J224:$N230)))</f>
        <v>0.81818181818181812</v>
      </c>
      <c r="AA226" s="217">
        <f>SQRT(M226*MAX(M224:M230)/(MAX($J226:$N226)*MAX($J224:$N230)))</f>
        <v>0.90909090909090906</v>
      </c>
      <c r="AB226" s="218">
        <f>SQRT(N226*MAX(N224:N230)/(MAX($J226:$N226)*MAX($J224:$N230)))</f>
        <v>1</v>
      </c>
      <c r="AC226" s="206">
        <v>0</v>
      </c>
      <c r="AD226" s="87"/>
      <c r="AE226" s="87"/>
      <c r="AF226" s="87"/>
      <c r="AG226" s="87"/>
      <c r="AH226" s="84"/>
      <c r="AI226" s="66"/>
      <c r="AJ226" s="54"/>
      <c r="AK226" s="54"/>
      <c r="AL226" s="54"/>
    </row>
    <row r="227" spans="1:38" hidden="1" outlineLevel="3" x14ac:dyDescent="0.25">
      <c r="A227" s="54"/>
      <c r="B227" s="63"/>
      <c r="C227" s="99">
        <f t="shared" si="41"/>
        <v>4</v>
      </c>
      <c r="D227" s="84"/>
      <c r="E227" s="79"/>
      <c r="F227" s="79">
        <f t="shared" si="33"/>
        <v>5</v>
      </c>
      <c r="G227" s="84"/>
      <c r="H227" s="87"/>
      <c r="I227" s="198">
        <f t="shared" si="42"/>
        <v>40</v>
      </c>
      <c r="J227" s="211">
        <f t="shared" si="42"/>
        <v>0.01</v>
      </c>
      <c r="K227" s="111">
        <f t="shared" si="42"/>
        <v>0.01</v>
      </c>
      <c r="L227" s="111">
        <f t="shared" si="42"/>
        <v>180</v>
      </c>
      <c r="M227" s="111">
        <f t="shared" si="42"/>
        <v>200</v>
      </c>
      <c r="N227" s="212">
        <f t="shared" si="42"/>
        <v>220</v>
      </c>
      <c r="O227" s="201">
        <v>0</v>
      </c>
      <c r="P227" s="202"/>
      <c r="Q227" s="213">
        <f>SQRT(J227*MAX($J227:$N227)/(MAX(J224:J230)*MAX($J224:$N230)))</f>
        <v>1</v>
      </c>
      <c r="R227" s="214">
        <f>SQRT(K227*MAX($J227:$N227)/(MAX(K224:K230)*MAX($J224:$N230)))</f>
        <v>1</v>
      </c>
      <c r="S227" s="214">
        <f>SQRT(L227*MAX($J227:$N227)/(MAX(L224:L230)*MAX($J224:$N230)))</f>
        <v>1</v>
      </c>
      <c r="T227" s="214">
        <f>SQRT(M227*MAX($J227:$N227)/(MAX(M224:M230)*MAX($J224:$N230)))</f>
        <v>1</v>
      </c>
      <c r="U227" s="215">
        <f>SQRT(N227*MAX($J227:$N227)/(MAX(N224:N230)*MAX($J224:$N230)))</f>
        <v>1</v>
      </c>
      <c r="V227" s="206">
        <v>0</v>
      </c>
      <c r="W227" s="202"/>
      <c r="X227" s="216">
        <f>SQRT(J227*MAX(J224:J230)/(MAX($J227:$N227)*MAX($J224:$N230)))</f>
        <v>4.5454545454545452E-5</v>
      </c>
      <c r="Y227" s="217">
        <f>SQRT(K227*MAX(K224:K230)/(MAX($J227:$N227)*MAX($J224:$N230)))</f>
        <v>4.5454545454545452E-5</v>
      </c>
      <c r="Z227" s="217">
        <f>SQRT(L227*MAX(L224:L230)/(MAX($J227:$N227)*MAX($J224:$N230)))</f>
        <v>0.81818181818181812</v>
      </c>
      <c r="AA227" s="217">
        <f>SQRT(M227*MAX(M224:M230)/(MAX($J227:$N227)*MAX($J224:$N230)))</f>
        <v>0.90909090909090906</v>
      </c>
      <c r="AB227" s="218">
        <f>SQRT(N227*MAX(N224:N230)/(MAX($J227:$N227)*MAX($J224:$N230)))</f>
        <v>1</v>
      </c>
      <c r="AC227" s="206">
        <v>0</v>
      </c>
      <c r="AD227" s="87"/>
      <c r="AE227" s="87"/>
      <c r="AF227" s="87"/>
      <c r="AG227" s="87"/>
      <c r="AH227" s="84"/>
      <c r="AI227" s="66"/>
      <c r="AJ227" s="54"/>
      <c r="AK227" s="54"/>
      <c r="AL227" s="54"/>
    </row>
    <row r="228" spans="1:38" hidden="1" outlineLevel="3" x14ac:dyDescent="0.25">
      <c r="A228" s="54"/>
      <c r="B228" s="63"/>
      <c r="C228" s="99">
        <f t="shared" si="41"/>
        <v>4</v>
      </c>
      <c r="D228" s="84"/>
      <c r="E228" s="79"/>
      <c r="F228" s="79">
        <f t="shared" si="33"/>
        <v>5</v>
      </c>
      <c r="G228" s="84"/>
      <c r="H228" s="87"/>
      <c r="I228" s="198">
        <f t="shared" si="42"/>
        <v>40</v>
      </c>
      <c r="J228" s="211">
        <f t="shared" si="42"/>
        <v>0.01</v>
      </c>
      <c r="K228" s="111">
        <f t="shared" si="42"/>
        <v>0.01</v>
      </c>
      <c r="L228" s="111">
        <f t="shared" si="42"/>
        <v>180</v>
      </c>
      <c r="M228" s="111">
        <f t="shared" si="42"/>
        <v>200</v>
      </c>
      <c r="N228" s="212">
        <f t="shared" si="42"/>
        <v>220</v>
      </c>
      <c r="O228" s="201">
        <v>0</v>
      </c>
      <c r="P228" s="202"/>
      <c r="Q228" s="213">
        <f>SQRT(J228*MAX($J228:$N228)/(MAX(J224:J230)*MAX($J224:$N230)))</f>
        <v>1</v>
      </c>
      <c r="R228" s="214">
        <f>SQRT(K228*MAX($J228:$N228)/(MAX(K224:K230)*MAX($J224:$N230)))</f>
        <v>1</v>
      </c>
      <c r="S228" s="214">
        <f>SQRT(L228*MAX($J228:$N228)/(MAX(L224:L230)*MAX($J224:$N230)))</f>
        <v>1</v>
      </c>
      <c r="T228" s="214">
        <f>SQRT(M228*MAX($J228:$N228)/(MAX(M224:M230)*MAX($J224:$N230)))</f>
        <v>1</v>
      </c>
      <c r="U228" s="215">
        <f>SQRT(N228*MAX($J228:$N228)/(MAX(N224:N230)*MAX($J224:$N230)))</f>
        <v>1</v>
      </c>
      <c r="V228" s="206">
        <v>0</v>
      </c>
      <c r="W228" s="202"/>
      <c r="X228" s="216">
        <f>SQRT(J228*MAX(J224:J230)/(MAX($J228:$N228)*MAX($J224:$N230)))</f>
        <v>4.5454545454545452E-5</v>
      </c>
      <c r="Y228" s="217">
        <f>SQRT(K228*MAX(K224:K230)/(MAX($J228:$N228)*MAX($J224:$N230)))</f>
        <v>4.5454545454545452E-5</v>
      </c>
      <c r="Z228" s="217">
        <f>SQRT(L228*MAX(L224:L230)/(MAX($J228:$N228)*MAX($J224:$N230)))</f>
        <v>0.81818181818181812</v>
      </c>
      <c r="AA228" s="217">
        <f>SQRT(M228*MAX(M224:M230)/(MAX($J228:$N228)*MAX($J224:$N230)))</f>
        <v>0.90909090909090906</v>
      </c>
      <c r="AB228" s="218">
        <f>SQRT(N228*MAX(N224:N230)/(MAX($J228:$N228)*MAX($J224:$N230)))</f>
        <v>1</v>
      </c>
      <c r="AC228" s="206">
        <v>0</v>
      </c>
      <c r="AD228" s="87"/>
      <c r="AE228" s="87"/>
      <c r="AF228" s="87"/>
      <c r="AG228" s="87"/>
      <c r="AH228" s="84"/>
      <c r="AI228" s="66"/>
      <c r="AJ228" s="54"/>
      <c r="AK228" s="54"/>
      <c r="AL228" s="54"/>
    </row>
    <row r="229" spans="1:38" hidden="1" outlineLevel="3" x14ac:dyDescent="0.25">
      <c r="A229" s="54"/>
      <c r="B229" s="63"/>
      <c r="C229" s="99">
        <f t="shared" si="41"/>
        <v>4</v>
      </c>
      <c r="D229" s="84"/>
      <c r="E229" s="79"/>
      <c r="F229" s="79">
        <f t="shared" si="33"/>
        <v>5</v>
      </c>
      <c r="G229" s="84"/>
      <c r="H229" s="87"/>
      <c r="I229" s="198">
        <f t="shared" si="42"/>
        <v>40</v>
      </c>
      <c r="J229" s="211">
        <f t="shared" si="42"/>
        <v>0.01</v>
      </c>
      <c r="K229" s="111">
        <f t="shared" si="42"/>
        <v>0.01</v>
      </c>
      <c r="L229" s="111">
        <f t="shared" si="42"/>
        <v>180</v>
      </c>
      <c r="M229" s="111">
        <f t="shared" si="42"/>
        <v>200</v>
      </c>
      <c r="N229" s="212">
        <f t="shared" si="42"/>
        <v>220</v>
      </c>
      <c r="O229" s="201">
        <v>0</v>
      </c>
      <c r="P229" s="202"/>
      <c r="Q229" s="213">
        <f>SQRT(J229*MAX($J229:$N229)/(MAX(J224:J230)*MAX($J224:$N230)))</f>
        <v>1</v>
      </c>
      <c r="R229" s="214">
        <f>SQRT(K229*MAX($J229:$N229)/(MAX(K224:K230)*MAX($J224:$N230)))</f>
        <v>1</v>
      </c>
      <c r="S229" s="214">
        <f>SQRT(L229*MAX($J229:$N229)/(MAX(L224:L230)*MAX($J224:$N230)))</f>
        <v>1</v>
      </c>
      <c r="T229" s="214">
        <f>SQRT(M229*MAX($J229:$N229)/(MAX(M224:M230)*MAX($J224:$N230)))</f>
        <v>1</v>
      </c>
      <c r="U229" s="215">
        <f>SQRT(N229*MAX($J229:$N229)/(MAX(N224:N230)*MAX($J224:$N230)))</f>
        <v>1</v>
      </c>
      <c r="V229" s="206">
        <v>0</v>
      </c>
      <c r="W229" s="202"/>
      <c r="X229" s="216">
        <f>SQRT(J229*MAX(J224:J230)/(MAX($J229:$N229)*MAX($J224:$N230)))</f>
        <v>4.5454545454545452E-5</v>
      </c>
      <c r="Y229" s="217">
        <f>SQRT(K229*MAX(K224:K230)/(MAX($J229:$N229)*MAX($J224:$N230)))</f>
        <v>4.5454545454545452E-5</v>
      </c>
      <c r="Z229" s="217">
        <f>SQRT(L229*MAX(L224:L230)/(MAX($J229:$N229)*MAX($J224:$N230)))</f>
        <v>0.81818181818181812</v>
      </c>
      <c r="AA229" s="217">
        <f>SQRT(M229*MAX(M224:M230)/(MAX($J229:$N229)*MAX($J224:$N230)))</f>
        <v>0.90909090909090906</v>
      </c>
      <c r="AB229" s="218">
        <f>SQRT(N229*MAX(N224:N230)/(MAX($J229:$N229)*MAX($J224:$N230)))</f>
        <v>1</v>
      </c>
      <c r="AC229" s="206">
        <v>0</v>
      </c>
      <c r="AD229" s="87"/>
      <c r="AE229" s="87"/>
      <c r="AF229" s="87"/>
      <c r="AG229" s="87"/>
      <c r="AH229" s="84"/>
      <c r="AI229" s="66"/>
      <c r="AJ229" s="54"/>
      <c r="AK229" s="54"/>
      <c r="AL229" s="54"/>
    </row>
    <row r="230" spans="1:38" hidden="1" outlineLevel="3" x14ac:dyDescent="0.25">
      <c r="A230" s="54"/>
      <c r="B230" s="63"/>
      <c r="C230" s="99">
        <f t="shared" si="41"/>
        <v>4</v>
      </c>
      <c r="D230" s="84"/>
      <c r="E230" s="79"/>
      <c r="F230" s="79">
        <f t="shared" si="33"/>
        <v>5</v>
      </c>
      <c r="G230" s="84"/>
      <c r="H230" s="87"/>
      <c r="I230" s="198">
        <f t="shared" si="42"/>
        <v>40</v>
      </c>
      <c r="J230" s="219">
        <f t="shared" si="42"/>
        <v>0.01</v>
      </c>
      <c r="K230" s="188">
        <f t="shared" si="42"/>
        <v>0.01</v>
      </c>
      <c r="L230" s="188">
        <f t="shared" si="42"/>
        <v>180</v>
      </c>
      <c r="M230" s="188">
        <f t="shared" si="42"/>
        <v>200</v>
      </c>
      <c r="N230" s="220">
        <f t="shared" si="42"/>
        <v>220</v>
      </c>
      <c r="O230" s="201">
        <v>0</v>
      </c>
      <c r="P230" s="202"/>
      <c r="Q230" s="221">
        <f>SQRT(J230*MAX($J230:$N230)/(MAX(J224:J230)*MAX($J224:$N230)))</f>
        <v>1</v>
      </c>
      <c r="R230" s="222">
        <f>SQRT(K230*MAX($J230:$N230)/(MAX(K224:K230)*MAX($J224:$N230)))</f>
        <v>1</v>
      </c>
      <c r="S230" s="222">
        <f>SQRT(L230*MAX($J230:$N230)/(MAX(L224:L230)*MAX($J224:$N230)))</f>
        <v>1</v>
      </c>
      <c r="T230" s="222">
        <f>SQRT(M230*MAX($J230:$N230)/(MAX(M224:M230)*MAX($J224:$N230)))</f>
        <v>1</v>
      </c>
      <c r="U230" s="223">
        <f>SQRT(N230*MAX($J230:$N230)/(MAX(N224:N230)*MAX($J224:$N230)))</f>
        <v>1</v>
      </c>
      <c r="V230" s="206">
        <v>0</v>
      </c>
      <c r="W230" s="202"/>
      <c r="X230" s="224">
        <f>SQRT(J230*MAX(J224:J230)/(MAX($J230:$N230)*MAX($J224:$N230)))</f>
        <v>4.5454545454545452E-5</v>
      </c>
      <c r="Y230" s="225">
        <f>SQRT(K230*MAX(K224:K230)/(MAX($J230:$N230)*MAX($J224:$N230)))</f>
        <v>4.5454545454545452E-5</v>
      </c>
      <c r="Z230" s="225">
        <f>SQRT(L230*MAX(L224:L230)/(MAX($J230:$N230)*MAX($J224:$N230)))</f>
        <v>0.81818181818181812</v>
      </c>
      <c r="AA230" s="225">
        <f>SQRT(M230*MAX(M224:M230)/(MAX($J230:$N230)*MAX($J224:$N230)))</f>
        <v>0.90909090909090906</v>
      </c>
      <c r="AB230" s="226">
        <f>SQRT(N230*MAX(N224:N230)/(MAX($J230:$N230)*MAX($J224:$N230)))</f>
        <v>1</v>
      </c>
      <c r="AC230" s="206">
        <v>0</v>
      </c>
      <c r="AD230" s="87"/>
      <c r="AE230" s="87"/>
      <c r="AF230" s="87"/>
      <c r="AG230" s="87"/>
      <c r="AH230" s="84"/>
      <c r="AI230" s="66"/>
      <c r="AJ230" s="54"/>
      <c r="AK230" s="54"/>
      <c r="AL230" s="54"/>
    </row>
    <row r="231" spans="1:38" hidden="1" outlineLevel="3" x14ac:dyDescent="0.25">
      <c r="A231" s="54"/>
      <c r="B231" s="63"/>
      <c r="C231" s="99">
        <f t="shared" si="41"/>
        <v>4</v>
      </c>
      <c r="D231" s="84"/>
      <c r="E231" s="79"/>
      <c r="F231" s="79">
        <f t="shared" si="33"/>
        <v>5</v>
      </c>
      <c r="G231" s="84"/>
      <c r="H231" s="87"/>
      <c r="I231" s="108">
        <v>1000</v>
      </c>
      <c r="J231" s="227">
        <v>0</v>
      </c>
      <c r="K231" s="227">
        <v>0</v>
      </c>
      <c r="L231" s="227">
        <v>0</v>
      </c>
      <c r="M231" s="227">
        <v>0</v>
      </c>
      <c r="N231" s="227">
        <v>0</v>
      </c>
      <c r="O231" s="108">
        <v>0</v>
      </c>
      <c r="P231" s="87"/>
      <c r="Q231" s="228">
        <v>0</v>
      </c>
      <c r="R231" s="228">
        <v>0</v>
      </c>
      <c r="S231" s="228">
        <v>0</v>
      </c>
      <c r="T231" s="228">
        <v>0</v>
      </c>
      <c r="U231" s="228">
        <v>0</v>
      </c>
      <c r="V231" s="91">
        <v>0</v>
      </c>
      <c r="W231" s="87"/>
      <c r="X231" s="228">
        <v>0</v>
      </c>
      <c r="Y231" s="228">
        <v>0</v>
      </c>
      <c r="Z231" s="228">
        <v>0</v>
      </c>
      <c r="AA231" s="228">
        <v>0</v>
      </c>
      <c r="AB231" s="228">
        <v>0</v>
      </c>
      <c r="AC231" s="91">
        <v>0</v>
      </c>
      <c r="AD231" s="87"/>
      <c r="AE231" s="87"/>
      <c r="AF231" s="87"/>
      <c r="AG231" s="87"/>
      <c r="AH231" s="84"/>
      <c r="AI231" s="66"/>
      <c r="AJ231" s="54"/>
      <c r="AK231" s="54"/>
      <c r="AL231" s="54"/>
    </row>
    <row r="232" spans="1:38" hidden="1" outlineLevel="2" x14ac:dyDescent="0.25">
      <c r="A232" s="54"/>
      <c r="B232" s="63"/>
      <c r="C232" s="99">
        <f>INT($C$153)+2</f>
        <v>3</v>
      </c>
      <c r="D232" s="84"/>
      <c r="E232" s="79">
        <v>6</v>
      </c>
      <c r="F232" s="79">
        <f>E232</f>
        <v>6</v>
      </c>
      <c r="G232" s="84"/>
      <c r="H232" s="108" t="str">
        <f>INDEX($H$169:$H$176,$E232+1,1)</f>
        <v>Mutton grid (6)</v>
      </c>
      <c r="I232" s="198">
        <v>10.1</v>
      </c>
      <c r="J232" s="199">
        <v>3</v>
      </c>
      <c r="K232" s="157">
        <v>3</v>
      </c>
      <c r="L232" s="157">
        <v>3</v>
      </c>
      <c r="M232" s="157">
        <v>3</v>
      </c>
      <c r="N232" s="200">
        <v>2</v>
      </c>
      <c r="O232" s="201">
        <v>0</v>
      </c>
      <c r="P232" s="202"/>
      <c r="Q232" s="203">
        <f>SQRT(J232*MAX($J232:$N232)/(MAX(J232:J238)*MAX($J232:$N238)))</f>
        <v>0.58834840541455213</v>
      </c>
      <c r="R232" s="204">
        <f>SQRT(K232*MAX($J232:$N232)/(MAX(K232:K238)*MAX($J232:$N238)))</f>
        <v>0.57692307692307687</v>
      </c>
      <c r="S232" s="204">
        <f>SQRT(L232*MAX($J232:$N232)/(MAX(L232:L238)*MAX($J232:$N238)))</f>
        <v>0.57692307692307687</v>
      </c>
      <c r="T232" s="204">
        <f>SQRT(M232*MAX($J232:$N232)/(MAX(M232:M238)*MAX($J232:$N238)))</f>
        <v>0.57692307692307687</v>
      </c>
      <c r="U232" s="205">
        <f>SQRT(N232*MAX($J232:$N232)/(MAX(N232:N238)*MAX($J232:$N238)))</f>
        <v>0.53708615552957462</v>
      </c>
      <c r="V232" s="206">
        <v>0</v>
      </c>
      <c r="W232" s="202"/>
      <c r="X232" s="207">
        <f>SQRT(J232*MAX(J232:J238)/(MAX($J232:$N232)*MAX($J232:$N238)))</f>
        <v>0.98058067569092011</v>
      </c>
      <c r="Y232" s="208">
        <f>SQRT(K232*MAX(K232:K238)/(MAX($J232:$N232)*MAX($J232:$N238)))</f>
        <v>1</v>
      </c>
      <c r="Z232" s="208">
        <f>SQRT(L232*MAX(L232:L238)/(MAX($J232:$N232)*MAX($J232:$N238)))</f>
        <v>1</v>
      </c>
      <c r="AA232" s="208">
        <f>SQRT(M232*MAX(M232:M238)/(MAX($J232:$N232)*MAX($J232:$N238)))</f>
        <v>1</v>
      </c>
      <c r="AB232" s="209">
        <f>SQRT(N232*MAX(N232:N238)/(MAX($J232:$N232)*MAX($J232:$N238)))</f>
        <v>0.71611487403943286</v>
      </c>
      <c r="AC232" s="206">
        <v>0</v>
      </c>
      <c r="AD232" s="87"/>
      <c r="AE232" s="87"/>
      <c r="AF232" s="87"/>
      <c r="AG232" s="87"/>
      <c r="AH232" s="84"/>
      <c r="AI232" s="66"/>
      <c r="AJ232" s="54"/>
      <c r="AK232" s="54"/>
      <c r="AL232" s="54"/>
    </row>
    <row r="233" spans="1:38" hidden="1" outlineLevel="3" x14ac:dyDescent="0.25">
      <c r="A233" s="54"/>
      <c r="B233" s="63"/>
      <c r="C233" s="99">
        <f t="shared" ref="C233:C239" si="43">INT($C$153)+3</f>
        <v>4</v>
      </c>
      <c r="D233" s="84"/>
      <c r="E233" s="79"/>
      <c r="F233" s="79">
        <f>F232</f>
        <v>6</v>
      </c>
      <c r="G233" s="84"/>
      <c r="H233" s="210" t="str">
        <f>INDEX($M$161:$M$163,INDEX(i_salep_price_type_s7,$F233+1,1)+1,1)&amp;INDEX($L$161:$L$163,INDEX(ia_s8_s7,$F233+1,1)+1,1)</f>
        <v>$/kg DW, DW - Fat score</v>
      </c>
      <c r="I233" s="198">
        <v>14.1</v>
      </c>
      <c r="J233" s="211">
        <v>4.4000000000000004</v>
      </c>
      <c r="K233" s="111">
        <v>4.4000000000000004</v>
      </c>
      <c r="L233" s="111">
        <v>4.4000000000000004</v>
      </c>
      <c r="M233" s="111">
        <v>4.4000000000000004</v>
      </c>
      <c r="N233" s="212">
        <v>2</v>
      </c>
      <c r="O233" s="201">
        <v>0</v>
      </c>
      <c r="P233" s="202"/>
      <c r="Q233" s="213">
        <f>SQRT(J233*MAX($J233:$N233)/(MAX(J232:J238)*MAX($J232:$N238)))</f>
        <v>0.8629109946080098</v>
      </c>
      <c r="R233" s="214">
        <f>SQRT(K233*MAX($J233:$N233)/(MAX(K232:K238)*MAX($J232:$N238)))</f>
        <v>0.84615384615384615</v>
      </c>
      <c r="S233" s="214">
        <f>SQRT(L233*MAX($J233:$N233)/(MAX(L232:L238)*MAX($J232:$N238)))</f>
        <v>0.84615384615384615</v>
      </c>
      <c r="T233" s="214">
        <f>SQRT(M233*MAX($J233:$N233)/(MAX(M232:M238)*MAX($J232:$N238)))</f>
        <v>0.84615384615384615</v>
      </c>
      <c r="U233" s="215">
        <f>SQRT(N233*MAX($J233:$N233)/(MAX(N232:N238)*MAX($J232:$N238)))</f>
        <v>0.6504436355879909</v>
      </c>
      <c r="V233" s="206">
        <v>0</v>
      </c>
      <c r="W233" s="202"/>
      <c r="X233" s="216">
        <f>SQRT(J233*MAX(J232:J238)/(MAX($J233:$N233)*MAX($J232:$N238)))</f>
        <v>0.98058067569092011</v>
      </c>
      <c r="Y233" s="217">
        <f>SQRT(K233*MAX(K232:K238)/(MAX($J233:$N233)*MAX($J232:$N238)))</f>
        <v>1</v>
      </c>
      <c r="Z233" s="217">
        <f>SQRT(L233*MAX(L232:L238)/(MAX($J233:$N233)*MAX($J232:$N238)))</f>
        <v>1</v>
      </c>
      <c r="AA233" s="217">
        <f>SQRT(M233*MAX(M232:M238)/(MAX($J233:$N233)*MAX($J232:$N238)))</f>
        <v>1</v>
      </c>
      <c r="AB233" s="218">
        <f>SQRT(N233*MAX(N232:N238)/(MAX($J233:$N233)*MAX($J232:$N238)))</f>
        <v>0.59131239598908258</v>
      </c>
      <c r="AC233" s="206">
        <v>0</v>
      </c>
      <c r="AD233" s="87"/>
      <c r="AE233" s="87"/>
      <c r="AF233" s="87"/>
      <c r="AG233" s="87"/>
      <c r="AH233" s="84"/>
      <c r="AI233" s="66"/>
      <c r="AJ233" s="54"/>
      <c r="AK233" s="54"/>
      <c r="AL233" s="54"/>
    </row>
    <row r="234" spans="1:38" hidden="1" outlineLevel="3" x14ac:dyDescent="0.25">
      <c r="A234" s="54"/>
      <c r="B234" s="63"/>
      <c r="C234" s="99">
        <f t="shared" si="43"/>
        <v>4</v>
      </c>
      <c r="D234" s="84"/>
      <c r="E234" s="79"/>
      <c r="F234" s="79">
        <f t="shared" si="33"/>
        <v>6</v>
      </c>
      <c r="G234" s="84"/>
      <c r="H234" s="109" t="s">
        <v>348</v>
      </c>
      <c r="I234" s="198">
        <v>18.100000000000001</v>
      </c>
      <c r="J234" s="211">
        <v>5</v>
      </c>
      <c r="K234" s="111">
        <v>5.2</v>
      </c>
      <c r="L234" s="111">
        <v>5.2</v>
      </c>
      <c r="M234" s="111">
        <v>5.2</v>
      </c>
      <c r="N234" s="212">
        <v>4</v>
      </c>
      <c r="O234" s="201">
        <v>0</v>
      </c>
      <c r="P234" s="202"/>
      <c r="Q234" s="213">
        <f>SQRT(J234*MAX($J234:$N234)/(MAX(J232:J238)*MAX($J232:$N238)))</f>
        <v>1</v>
      </c>
      <c r="R234" s="214">
        <f>SQRT(K234*MAX($J234:$N234)/(MAX(K232:K238)*MAX($J232:$N238)))</f>
        <v>1</v>
      </c>
      <c r="S234" s="214">
        <f>SQRT(L234*MAX($J234:$N234)/(MAX(L232:L238)*MAX($J232:$N238)))</f>
        <v>1</v>
      </c>
      <c r="T234" s="214">
        <f>SQRT(M234*MAX($J234:$N234)/(MAX(M232:M238)*MAX($J232:$N238)))</f>
        <v>1</v>
      </c>
      <c r="U234" s="215">
        <f>SQRT(N234*MAX($J234:$N234)/(MAX(N232:N238)*MAX($J232:$N238)))</f>
        <v>1</v>
      </c>
      <c r="V234" s="206">
        <v>0</v>
      </c>
      <c r="W234" s="202"/>
      <c r="X234" s="216">
        <f>SQRT(J234*MAX(J232:J238)/(MAX($J234:$N234)*MAX($J232:$N238)))</f>
        <v>0.96153846153846145</v>
      </c>
      <c r="Y234" s="217">
        <f>SQRT(K234*MAX(K232:K238)/(MAX($J234:$N234)*MAX($J232:$N238)))</f>
        <v>1</v>
      </c>
      <c r="Z234" s="217">
        <f>SQRT(L234*MAX(L232:L238)/(MAX($J234:$N234)*MAX($J232:$N238)))</f>
        <v>1</v>
      </c>
      <c r="AA234" s="217">
        <f>SQRT(M234*MAX(M232:M238)/(MAX($J234:$N234)*MAX($J232:$N238)))</f>
        <v>1</v>
      </c>
      <c r="AB234" s="218">
        <f>SQRT(N234*MAX(N232:N238)/(MAX($J234:$N234)*MAX($J232:$N238)))</f>
        <v>0.76923076923076916</v>
      </c>
      <c r="AC234" s="206">
        <v>0</v>
      </c>
      <c r="AD234" s="87"/>
      <c r="AE234" s="87"/>
      <c r="AF234" s="87"/>
      <c r="AG234" s="87"/>
      <c r="AH234" s="84"/>
      <c r="AI234" s="66"/>
      <c r="AJ234" s="54"/>
      <c r="AK234" s="54"/>
      <c r="AL234" s="54"/>
    </row>
    <row r="235" spans="1:38" hidden="1" outlineLevel="3" x14ac:dyDescent="0.25">
      <c r="A235" s="54"/>
      <c r="B235" s="63"/>
      <c r="C235" s="99">
        <f t="shared" si="43"/>
        <v>4</v>
      </c>
      <c r="D235" s="84"/>
      <c r="E235" s="79"/>
      <c r="F235" s="79">
        <f t="shared" si="33"/>
        <v>6</v>
      </c>
      <c r="G235" s="84"/>
      <c r="H235" s="87"/>
      <c r="I235" s="198">
        <v>35.1</v>
      </c>
      <c r="J235" s="211">
        <v>4.5</v>
      </c>
      <c r="K235" s="111">
        <v>4.9000000000000004</v>
      </c>
      <c r="L235" s="111">
        <v>4.9000000000000004</v>
      </c>
      <c r="M235" s="111">
        <v>4.9000000000000004</v>
      </c>
      <c r="N235" s="212">
        <v>4</v>
      </c>
      <c r="O235" s="201">
        <v>0</v>
      </c>
      <c r="P235" s="202"/>
      <c r="Q235" s="213">
        <f>SQRT(J235*MAX($J235:$N235)/(MAX(J232:J238)*MAX($J232:$N238)))</f>
        <v>0.92091092027238064</v>
      </c>
      <c r="R235" s="214">
        <f>SQRT(K235*MAX($J235:$N235)/(MAX(K232:K238)*MAX($J232:$N238)))</f>
        <v>0.9423076923076924</v>
      </c>
      <c r="S235" s="214">
        <f>SQRT(L235*MAX($J235:$N235)/(MAX(L232:L238)*MAX($J232:$N238)))</f>
        <v>0.9423076923076924</v>
      </c>
      <c r="T235" s="214">
        <f>SQRT(M235*MAX($J235:$N235)/(MAX(M232:M238)*MAX($J232:$N238)))</f>
        <v>0.9423076923076924</v>
      </c>
      <c r="U235" s="215">
        <f>SQRT(N235*MAX($J235:$N235)/(MAX(N232:N238)*MAX($J232:$N238)))</f>
        <v>0.97072534339415095</v>
      </c>
      <c r="V235" s="206">
        <v>0</v>
      </c>
      <c r="W235" s="202"/>
      <c r="X235" s="216">
        <f>SQRT(J235*MAX(J232:J238)/(MAX($J235:$N235)*MAX($J232:$N238)))</f>
        <v>0.93970502068610262</v>
      </c>
      <c r="Y235" s="217">
        <f>SQRT(K235*MAX(K232:K238)/(MAX($J235:$N235)*MAX($J232:$N238)))</f>
        <v>1</v>
      </c>
      <c r="Z235" s="217">
        <f>SQRT(L235*MAX(L232:L238)/(MAX($J235:$N235)*MAX($J232:$N238)))</f>
        <v>1</v>
      </c>
      <c r="AA235" s="217">
        <f>SQRT(M235*MAX(M232:M238)/(MAX($J235:$N235)*MAX($J232:$N238)))</f>
        <v>1</v>
      </c>
      <c r="AB235" s="218">
        <f>SQRT(N235*MAX(N232:N238)/(MAX($J235:$N235)*MAX($J232:$N238)))</f>
        <v>0.79242885175032729</v>
      </c>
      <c r="AC235" s="206">
        <v>0</v>
      </c>
      <c r="AD235" s="87"/>
      <c r="AE235" s="87"/>
      <c r="AF235" s="87"/>
      <c r="AG235" s="87"/>
      <c r="AH235" s="84"/>
      <c r="AI235" s="66"/>
      <c r="AJ235" s="54"/>
      <c r="AK235" s="54"/>
      <c r="AL235" s="54"/>
    </row>
    <row r="236" spans="1:38" hidden="1" outlineLevel="3" x14ac:dyDescent="0.25">
      <c r="A236" s="54"/>
      <c r="B236" s="63"/>
      <c r="C236" s="99">
        <f t="shared" si="43"/>
        <v>4</v>
      </c>
      <c r="D236" s="84"/>
      <c r="E236" s="79"/>
      <c r="F236" s="79">
        <f t="shared" si="33"/>
        <v>6</v>
      </c>
      <c r="G236" s="84"/>
      <c r="H236" s="87"/>
      <c r="I236" s="198">
        <v>40.1</v>
      </c>
      <c r="J236" s="211">
        <v>4.4000000000000004</v>
      </c>
      <c r="K236" s="111">
        <v>4.5999999999999996</v>
      </c>
      <c r="L236" s="111">
        <v>4.5999999999999996</v>
      </c>
      <c r="M236" s="111">
        <v>4.5999999999999996</v>
      </c>
      <c r="N236" s="212">
        <v>4</v>
      </c>
      <c r="O236" s="201">
        <v>0</v>
      </c>
      <c r="P236" s="202"/>
      <c r="Q236" s="213">
        <f>SQRT(J236*MAX($J236:$N236)/(MAX(J232:J238)*MAX($J232:$N238)))</f>
        <v>0.88230467439628724</v>
      </c>
      <c r="R236" s="214">
        <f>SQRT(K236*MAX($J236:$N236)/(MAX(K232:K238)*MAX($J232:$N238)))</f>
        <v>0.88461538461538447</v>
      </c>
      <c r="S236" s="214">
        <f>SQRT(L236*MAX($J236:$N236)/(MAX(L232:L238)*MAX($J232:$N238)))</f>
        <v>0.88461538461538447</v>
      </c>
      <c r="T236" s="214">
        <f>SQRT(M236*MAX($J236:$N236)/(MAX(M232:M238)*MAX($J232:$N238)))</f>
        <v>0.88461538461538447</v>
      </c>
      <c r="U236" s="215">
        <f>SQRT(N236*MAX($J236:$N236)/(MAX(N232:N238)*MAX($J232:$N238)))</f>
        <v>0.94053994312596023</v>
      </c>
      <c r="V236" s="206">
        <v>0</v>
      </c>
      <c r="W236" s="202"/>
      <c r="X236" s="216">
        <f>SQRT(J236*MAX(J232:J238)/(MAX($J236:$N236)*MAX($J232:$N238)))</f>
        <v>0.9590268199959644</v>
      </c>
      <c r="Y236" s="217">
        <f>SQRT(K236*MAX(K232:K238)/(MAX($J236:$N236)*MAX($J232:$N238)))</f>
        <v>1</v>
      </c>
      <c r="Z236" s="217">
        <f>SQRT(L236*MAX(L232:L238)/(MAX($J236:$N236)*MAX($J232:$N238)))</f>
        <v>1</v>
      </c>
      <c r="AA236" s="217">
        <f>SQRT(M236*MAX(M232:M238)/(MAX($J236:$N236)*MAX($J232:$N238)))</f>
        <v>1</v>
      </c>
      <c r="AB236" s="218">
        <f>SQRT(N236*MAX(N232:N238)/(MAX($J236:$N236)*MAX($J232:$N238)))</f>
        <v>0.81786082010953065</v>
      </c>
      <c r="AC236" s="206">
        <v>0</v>
      </c>
      <c r="AD236" s="87"/>
      <c r="AE236" s="87"/>
      <c r="AF236" s="87"/>
      <c r="AG236" s="87"/>
      <c r="AH236" s="84"/>
      <c r="AI236" s="66"/>
      <c r="AJ236" s="54"/>
      <c r="AK236" s="54"/>
      <c r="AL236" s="54"/>
    </row>
    <row r="237" spans="1:38" hidden="1" outlineLevel="3" x14ac:dyDescent="0.25">
      <c r="A237" s="54"/>
      <c r="B237" s="63"/>
      <c r="C237" s="99">
        <f t="shared" si="43"/>
        <v>4</v>
      </c>
      <c r="D237" s="84"/>
      <c r="E237" s="79"/>
      <c r="F237" s="79">
        <f t="shared" si="33"/>
        <v>6</v>
      </c>
      <c r="G237" s="84"/>
      <c r="H237" s="87"/>
      <c r="I237" s="198">
        <v>45.1</v>
      </c>
      <c r="J237" s="211">
        <v>4</v>
      </c>
      <c r="K237" s="111">
        <v>4</v>
      </c>
      <c r="L237" s="111">
        <v>4</v>
      </c>
      <c r="M237" s="111">
        <v>4</v>
      </c>
      <c r="N237" s="212">
        <v>4</v>
      </c>
      <c r="O237" s="201">
        <v>0</v>
      </c>
      <c r="P237" s="202"/>
      <c r="Q237" s="213">
        <f>SQRT(J237*MAX($J237:$N237)/(MAX(J232:J238)*MAX($J232:$N238)))</f>
        <v>0.78446454055273618</v>
      </c>
      <c r="R237" s="214">
        <f>SQRT(K237*MAX($J237:$N237)/(MAX(K232:K238)*MAX($J232:$N238)))</f>
        <v>0.76923076923076916</v>
      </c>
      <c r="S237" s="214">
        <f>SQRT(L237*MAX($J237:$N237)/(MAX(L232:L238)*MAX($J232:$N238)))</f>
        <v>0.76923076923076916</v>
      </c>
      <c r="T237" s="214">
        <f>SQRT(M237*MAX($J237:$N237)/(MAX(M232:M238)*MAX($J232:$N238)))</f>
        <v>0.76923076923076916</v>
      </c>
      <c r="U237" s="215">
        <f>SQRT(N237*MAX($J237:$N237)/(MAX(N232:N238)*MAX($J232:$N238)))</f>
        <v>0.8770580193070292</v>
      </c>
      <c r="V237" s="206">
        <v>0</v>
      </c>
      <c r="W237" s="202"/>
      <c r="X237" s="216">
        <f>SQRT(J237*MAX(J232:J238)/(MAX($J237:$N237)*MAX($J232:$N238)))</f>
        <v>0.98058067569092011</v>
      </c>
      <c r="Y237" s="217">
        <f>SQRT(K237*MAX(K232:K238)/(MAX($J237:$N237)*MAX($J232:$N238)))</f>
        <v>1</v>
      </c>
      <c r="Z237" s="217">
        <f>SQRT(L237*MAX(L232:L238)/(MAX($J237:$N237)*MAX($J232:$N238)))</f>
        <v>1</v>
      </c>
      <c r="AA237" s="217">
        <f>SQRT(M237*MAX(M232:M238)/(MAX($J237:$N237)*MAX($J232:$N238)))</f>
        <v>1</v>
      </c>
      <c r="AB237" s="218">
        <f>SQRT(N237*MAX(N232:N238)/(MAX($J237:$N237)*MAX($J232:$N238)))</f>
        <v>0.8770580193070292</v>
      </c>
      <c r="AC237" s="206">
        <v>0</v>
      </c>
      <c r="AD237" s="87"/>
      <c r="AE237" s="87"/>
      <c r="AF237" s="87"/>
      <c r="AG237" s="87"/>
      <c r="AH237" s="84"/>
      <c r="AI237" s="66"/>
      <c r="AJ237" s="54"/>
      <c r="AK237" s="54"/>
      <c r="AL237" s="54"/>
    </row>
    <row r="238" spans="1:38" hidden="1" outlineLevel="3" x14ac:dyDescent="0.25">
      <c r="A238" s="54"/>
      <c r="B238" s="63"/>
      <c r="C238" s="99">
        <f t="shared" si="43"/>
        <v>4</v>
      </c>
      <c r="D238" s="84"/>
      <c r="E238" s="79"/>
      <c r="F238" s="79">
        <f t="shared" si="33"/>
        <v>6</v>
      </c>
      <c r="G238" s="84"/>
      <c r="H238" s="87"/>
      <c r="I238" s="198">
        <f t="shared" ref="I238:N238" si="44">I237</f>
        <v>45.1</v>
      </c>
      <c r="J238" s="230">
        <f t="shared" si="44"/>
        <v>4</v>
      </c>
      <c r="K238" s="231">
        <f t="shared" si="44"/>
        <v>4</v>
      </c>
      <c r="L238" s="231">
        <f t="shared" si="44"/>
        <v>4</v>
      </c>
      <c r="M238" s="231">
        <f t="shared" si="44"/>
        <v>4</v>
      </c>
      <c r="N238" s="232">
        <f t="shared" si="44"/>
        <v>4</v>
      </c>
      <c r="O238" s="201">
        <v>0</v>
      </c>
      <c r="P238" s="202"/>
      <c r="Q238" s="221">
        <f>SQRT(J238*MAX($J238:$N238)/(MAX(J232:J238)*MAX($J232:$N238)))</f>
        <v>0.78446454055273618</v>
      </c>
      <c r="R238" s="222">
        <f>SQRT(K238*MAX($J238:$N238)/(MAX(K232:K238)*MAX($J232:$N238)))</f>
        <v>0.76923076923076916</v>
      </c>
      <c r="S238" s="222">
        <f>SQRT(L238*MAX($J238:$N238)/(MAX(L232:L238)*MAX($J232:$N238)))</f>
        <v>0.76923076923076916</v>
      </c>
      <c r="T238" s="222">
        <f>SQRT(M238*MAX($J238:$N238)/(MAX(M232:M238)*MAX($J232:$N238)))</f>
        <v>0.76923076923076916</v>
      </c>
      <c r="U238" s="223">
        <f>SQRT(N238*MAX($J238:$N238)/(MAX(N232:N238)*MAX($J232:$N238)))</f>
        <v>0.8770580193070292</v>
      </c>
      <c r="V238" s="206">
        <v>0</v>
      </c>
      <c r="W238" s="202"/>
      <c r="X238" s="224">
        <f>SQRT(J238*MAX(J232:J238)/(MAX($J238:$N238)*MAX($J232:$N238)))</f>
        <v>0.98058067569092011</v>
      </c>
      <c r="Y238" s="225">
        <f>SQRT(K238*MAX(K232:K238)/(MAX($J238:$N238)*MAX($J232:$N238)))</f>
        <v>1</v>
      </c>
      <c r="Z238" s="225">
        <f>SQRT(L238*MAX(L232:L238)/(MAX($J238:$N238)*MAX($J232:$N238)))</f>
        <v>1</v>
      </c>
      <c r="AA238" s="225">
        <f>SQRT(M238*MAX(M232:M238)/(MAX($J238:$N238)*MAX($J232:$N238)))</f>
        <v>1</v>
      </c>
      <c r="AB238" s="226">
        <f>SQRT(N238*MAX(N232:N238)/(MAX($J238:$N238)*MAX($J232:$N238)))</f>
        <v>0.8770580193070292</v>
      </c>
      <c r="AC238" s="206">
        <v>0</v>
      </c>
      <c r="AD238" s="87"/>
      <c r="AE238" s="87"/>
      <c r="AF238" s="87"/>
      <c r="AG238" s="87"/>
      <c r="AH238" s="84"/>
      <c r="AI238" s="66"/>
      <c r="AJ238" s="54"/>
      <c r="AK238" s="54"/>
      <c r="AL238" s="54"/>
    </row>
    <row r="239" spans="1:38" hidden="1" outlineLevel="3" x14ac:dyDescent="0.25">
      <c r="A239" s="54"/>
      <c r="B239" s="63"/>
      <c r="C239" s="99">
        <f t="shared" si="43"/>
        <v>4</v>
      </c>
      <c r="D239" s="84"/>
      <c r="E239" s="79"/>
      <c r="F239" s="79">
        <f t="shared" si="33"/>
        <v>6</v>
      </c>
      <c r="G239" s="84"/>
      <c r="H239" s="87"/>
      <c r="I239" s="108">
        <v>1000</v>
      </c>
      <c r="J239" s="227">
        <v>0</v>
      </c>
      <c r="K239" s="227">
        <v>0</v>
      </c>
      <c r="L239" s="227">
        <v>0</v>
      </c>
      <c r="M239" s="227">
        <v>0</v>
      </c>
      <c r="N239" s="227">
        <v>0</v>
      </c>
      <c r="O239" s="108">
        <v>0</v>
      </c>
      <c r="P239" s="87"/>
      <c r="Q239" s="228">
        <v>0</v>
      </c>
      <c r="R239" s="228">
        <v>0</v>
      </c>
      <c r="S239" s="228">
        <v>0</v>
      </c>
      <c r="T239" s="228">
        <v>0</v>
      </c>
      <c r="U239" s="228">
        <v>0</v>
      </c>
      <c r="V239" s="91">
        <v>0</v>
      </c>
      <c r="W239" s="87"/>
      <c r="X239" s="228">
        <v>0</v>
      </c>
      <c r="Y239" s="228">
        <v>0</v>
      </c>
      <c r="Z239" s="228">
        <v>0</v>
      </c>
      <c r="AA239" s="228">
        <v>0</v>
      </c>
      <c r="AB239" s="228">
        <v>0</v>
      </c>
      <c r="AC239" s="91">
        <v>0</v>
      </c>
      <c r="AD239" s="87"/>
      <c r="AE239" s="87"/>
      <c r="AF239" s="87"/>
      <c r="AG239" s="87"/>
      <c r="AH239" s="84"/>
      <c r="AI239" s="66"/>
      <c r="AJ239" s="54"/>
      <c r="AK239" s="54"/>
      <c r="AL239" s="54"/>
    </row>
    <row r="240" spans="1:38" hidden="1" outlineLevel="2" x14ac:dyDescent="0.25">
      <c r="A240" s="54"/>
      <c r="B240" s="63"/>
      <c r="C240" s="99">
        <f>INT($C$153)+2</f>
        <v>3</v>
      </c>
      <c r="D240" s="84"/>
      <c r="E240" s="79">
        <v>7</v>
      </c>
      <c r="F240" s="79">
        <f>E240</f>
        <v>7</v>
      </c>
      <c r="G240" s="84"/>
      <c r="H240" s="108" t="str">
        <f>INDEX($H$169:$H$176,$E240+1,1)</f>
        <v>Ram grid (7)</v>
      </c>
      <c r="I240" s="198">
        <v>10</v>
      </c>
      <c r="J240" s="199">
        <v>1</v>
      </c>
      <c r="K240" s="157">
        <v>1</v>
      </c>
      <c r="L240" s="157">
        <v>1</v>
      </c>
      <c r="M240" s="157">
        <v>1</v>
      </c>
      <c r="N240" s="200">
        <v>1</v>
      </c>
      <c r="O240" s="201">
        <v>0</v>
      </c>
      <c r="P240" s="202"/>
      <c r="Q240" s="203">
        <f>SQRT(J240*MAX($J240:$N240)/(MAX(J240:J246)*MAX($J240:$N246)))</f>
        <v>0.5</v>
      </c>
      <c r="R240" s="204">
        <f>SQRT(K240*MAX($J240:$N240)/(MAX(K240:K246)*MAX($J240:$N246)))</f>
        <v>0.5</v>
      </c>
      <c r="S240" s="204">
        <f>SQRT(L240*MAX($J240:$N240)/(MAX(L240:L246)*MAX($J240:$N246)))</f>
        <v>0.70710678118654757</v>
      </c>
      <c r="T240" s="204">
        <f>SQRT(M240*MAX($J240:$N240)/(MAX(M240:M246)*MAX($J240:$N246)))</f>
        <v>0.70710678118654757</v>
      </c>
      <c r="U240" s="205">
        <f>SQRT(N240*MAX($J240:$N240)/(MAX(N240:N246)*MAX($J240:$N246)))</f>
        <v>0.70710678118654757</v>
      </c>
      <c r="V240" s="206">
        <v>0</v>
      </c>
      <c r="W240" s="202"/>
      <c r="X240" s="207">
        <f>SQRT(J240*MAX(J240:J246)/(MAX($J240:$N240)*MAX($J240:$N246)))</f>
        <v>1</v>
      </c>
      <c r="Y240" s="208">
        <f>SQRT(K240*MAX(K240:K246)/(MAX($J240:$N240)*MAX($J240:$N246)))</f>
        <v>1</v>
      </c>
      <c r="Z240" s="208">
        <f>SQRT(L240*MAX(L240:L246)/(MAX($J240:$N240)*MAX($J240:$N246)))</f>
        <v>0.70710678118654757</v>
      </c>
      <c r="AA240" s="208">
        <f>SQRT(M240*MAX(M240:M246)/(MAX($J240:$N240)*MAX($J240:$N246)))</f>
        <v>0.70710678118654757</v>
      </c>
      <c r="AB240" s="209">
        <f>SQRT(N240*MAX(N240:N246)/(MAX($J240:$N240)*MAX($J240:$N246)))</f>
        <v>0.70710678118654757</v>
      </c>
      <c r="AC240" s="206">
        <v>0</v>
      </c>
      <c r="AD240" s="87"/>
      <c r="AE240" s="87"/>
      <c r="AF240" s="87"/>
      <c r="AG240" s="87"/>
      <c r="AH240" s="84"/>
      <c r="AI240" s="66"/>
      <c r="AJ240" s="54"/>
      <c r="AK240" s="54"/>
      <c r="AL240" s="54"/>
    </row>
    <row r="241" spans="1:38" hidden="1" outlineLevel="3" x14ac:dyDescent="0.25">
      <c r="A241" s="54"/>
      <c r="B241" s="63"/>
      <c r="C241" s="99">
        <f t="shared" ref="C241:C247" si="45">INT($C$153)+3</f>
        <v>4</v>
      </c>
      <c r="D241" s="84"/>
      <c r="E241" s="79"/>
      <c r="F241" s="79">
        <f>F240</f>
        <v>7</v>
      </c>
      <c r="G241" s="84"/>
      <c r="H241" s="210" t="str">
        <f>INDEX($M$161:$M$163,INDEX(i_salep_price_type_s7,$F241+1,1)+1,1)&amp;INDEX($L$161:$L$163,INDEX(ia_s8_s7,$F241+1,1)+1,1)</f>
        <v>$/kg DW, DW - Fat score</v>
      </c>
      <c r="I241" s="198">
        <v>16.100000000000001</v>
      </c>
      <c r="J241" s="211">
        <v>2</v>
      </c>
      <c r="K241" s="111">
        <v>2</v>
      </c>
      <c r="L241" s="111">
        <v>1</v>
      </c>
      <c r="M241" s="111">
        <v>1</v>
      </c>
      <c r="N241" s="212">
        <v>1</v>
      </c>
      <c r="O241" s="201">
        <v>0</v>
      </c>
      <c r="P241" s="202"/>
      <c r="Q241" s="213">
        <f>SQRT(J241*MAX($J241:$N241)/(MAX(J240:J246)*MAX($J240:$N246)))</f>
        <v>1</v>
      </c>
      <c r="R241" s="214">
        <f>SQRT(K241*MAX($J241:$N241)/(MAX(K240:K246)*MAX($J240:$N246)))</f>
        <v>1</v>
      </c>
      <c r="S241" s="214">
        <f>SQRT(L241*MAX($J241:$N241)/(MAX(L240:L246)*MAX($J240:$N246)))</f>
        <v>1</v>
      </c>
      <c r="T241" s="214">
        <f>SQRT(M241*MAX($J241:$N241)/(MAX(M240:M246)*MAX($J240:$N246)))</f>
        <v>1</v>
      </c>
      <c r="U241" s="215">
        <f>SQRT(N241*MAX($J241:$N241)/(MAX(N240:N246)*MAX($J240:$N246)))</f>
        <v>1</v>
      </c>
      <c r="V241" s="206">
        <v>0</v>
      </c>
      <c r="W241" s="202"/>
      <c r="X241" s="216">
        <f>SQRT(J241*MAX(J240:J246)/(MAX($J241:$N241)*MAX($J240:$N246)))</f>
        <v>1</v>
      </c>
      <c r="Y241" s="217">
        <f>SQRT(K241*MAX(K240:K246)/(MAX($J241:$N241)*MAX($J240:$N246)))</f>
        <v>1</v>
      </c>
      <c r="Z241" s="217">
        <f>SQRT(L241*MAX(L240:L246)/(MAX($J241:$N241)*MAX($J240:$N246)))</f>
        <v>0.5</v>
      </c>
      <c r="AA241" s="217">
        <f>SQRT(M241*MAX(M240:M246)/(MAX($J241:$N241)*MAX($J240:$N246)))</f>
        <v>0.5</v>
      </c>
      <c r="AB241" s="218">
        <f>SQRT(N241*MAX(N240:N246)/(MAX($J241:$N241)*MAX($J240:$N246)))</f>
        <v>0.5</v>
      </c>
      <c r="AC241" s="206">
        <v>0</v>
      </c>
      <c r="AD241" s="87"/>
      <c r="AE241" s="87"/>
      <c r="AF241" s="87"/>
      <c r="AG241" s="87"/>
      <c r="AH241" s="84"/>
      <c r="AI241" s="66"/>
      <c r="AJ241" s="54"/>
      <c r="AK241" s="54"/>
      <c r="AL241" s="54"/>
    </row>
    <row r="242" spans="1:38" hidden="1" outlineLevel="3" x14ac:dyDescent="0.25">
      <c r="A242" s="54"/>
      <c r="B242" s="63"/>
      <c r="C242" s="99">
        <f t="shared" si="45"/>
        <v>4</v>
      </c>
      <c r="D242" s="84"/>
      <c r="E242" s="79"/>
      <c r="F242" s="79">
        <f t="shared" si="33"/>
        <v>7</v>
      </c>
      <c r="G242" s="84"/>
      <c r="H242" s="109" t="s">
        <v>349</v>
      </c>
      <c r="I242" s="198">
        <v>30</v>
      </c>
      <c r="J242" s="211">
        <v>1</v>
      </c>
      <c r="K242" s="111">
        <v>1</v>
      </c>
      <c r="L242" s="111">
        <v>1</v>
      </c>
      <c r="M242" s="111">
        <v>1</v>
      </c>
      <c r="N242" s="212">
        <v>1</v>
      </c>
      <c r="O242" s="201">
        <v>0</v>
      </c>
      <c r="P242" s="202"/>
      <c r="Q242" s="213">
        <f>SQRT(J242*MAX($J242:$N242)/(MAX(J240:J246)*MAX($J240:$N246)))</f>
        <v>0.5</v>
      </c>
      <c r="R242" s="214">
        <f>SQRT(K242*MAX($J242:$N242)/(MAX(K240:K246)*MAX($J240:$N246)))</f>
        <v>0.5</v>
      </c>
      <c r="S242" s="214">
        <f>SQRT(L242*MAX($J242:$N242)/(MAX(L240:L246)*MAX($J240:$N246)))</f>
        <v>0.70710678118654757</v>
      </c>
      <c r="T242" s="214">
        <f>SQRT(M242*MAX($J242:$N242)/(MAX(M240:M246)*MAX($J240:$N246)))</f>
        <v>0.70710678118654757</v>
      </c>
      <c r="U242" s="215">
        <f>SQRT(N242*MAX($J242:$N242)/(MAX(N240:N246)*MAX($J240:$N246)))</f>
        <v>0.70710678118654757</v>
      </c>
      <c r="V242" s="206">
        <v>0</v>
      </c>
      <c r="W242" s="202"/>
      <c r="X242" s="216">
        <f>SQRT(J242*MAX(J240:J246)/(MAX($J242:$N242)*MAX($J240:$N246)))</f>
        <v>1</v>
      </c>
      <c r="Y242" s="217">
        <f>SQRT(K242*MAX(K240:K246)/(MAX($J242:$N242)*MAX($J240:$N246)))</f>
        <v>1</v>
      </c>
      <c r="Z242" s="217">
        <f>SQRT(L242*MAX(L240:L246)/(MAX($J242:$N242)*MAX($J240:$N246)))</f>
        <v>0.70710678118654757</v>
      </c>
      <c r="AA242" s="217">
        <f>SQRT(M242*MAX(M240:M246)/(MAX($J242:$N242)*MAX($J240:$N246)))</f>
        <v>0.70710678118654757</v>
      </c>
      <c r="AB242" s="218">
        <f>SQRT(N242*MAX(N240:N246)/(MAX($J242:$N242)*MAX($J240:$N246)))</f>
        <v>0.70710678118654757</v>
      </c>
      <c r="AC242" s="206">
        <v>0</v>
      </c>
      <c r="AD242" s="87"/>
      <c r="AE242" s="87"/>
      <c r="AF242" s="87"/>
      <c r="AG242" s="87"/>
      <c r="AH242" s="84"/>
      <c r="AI242" s="66"/>
      <c r="AJ242" s="54"/>
      <c r="AK242" s="54"/>
      <c r="AL242" s="54"/>
    </row>
    <row r="243" spans="1:38" hidden="1" outlineLevel="3" x14ac:dyDescent="0.25">
      <c r="A243" s="54"/>
      <c r="B243" s="63"/>
      <c r="C243" s="99">
        <f t="shared" si="45"/>
        <v>4</v>
      </c>
      <c r="D243" s="84"/>
      <c r="E243" s="79"/>
      <c r="F243" s="79">
        <f t="shared" si="33"/>
        <v>7</v>
      </c>
      <c r="G243" s="84"/>
      <c r="H243" s="87"/>
      <c r="I243" s="198">
        <f t="shared" ref="I243:N246" si="46">I242</f>
        <v>30</v>
      </c>
      <c r="J243" s="233">
        <f t="shared" si="46"/>
        <v>1</v>
      </c>
      <c r="K243" s="234">
        <f t="shared" si="46"/>
        <v>1</v>
      </c>
      <c r="L243" s="234">
        <f t="shared" si="46"/>
        <v>1</v>
      </c>
      <c r="M243" s="234">
        <f t="shared" si="46"/>
        <v>1</v>
      </c>
      <c r="N243" s="235">
        <f t="shared" si="46"/>
        <v>1</v>
      </c>
      <c r="O243" s="201">
        <v>0</v>
      </c>
      <c r="P243" s="202"/>
      <c r="Q243" s="213">
        <f>SQRT(J243*MAX($J243:$N243)/(MAX(J240:J246)*MAX($J240:$N246)))</f>
        <v>0.5</v>
      </c>
      <c r="R243" s="214">
        <f>SQRT(K243*MAX($J243:$N243)/(MAX(K240:K246)*MAX($J240:$N246)))</f>
        <v>0.5</v>
      </c>
      <c r="S243" s="214">
        <f>SQRT(L243*MAX($J243:$N243)/(MAX(L240:L246)*MAX($J240:$N246)))</f>
        <v>0.70710678118654757</v>
      </c>
      <c r="T243" s="214">
        <f>SQRT(M243*MAX($J243:$N243)/(MAX(M240:M246)*MAX($J240:$N246)))</f>
        <v>0.70710678118654757</v>
      </c>
      <c r="U243" s="215">
        <f>SQRT(N243*MAX($J243:$N243)/(MAX(N240:N246)*MAX($J240:$N246)))</f>
        <v>0.70710678118654757</v>
      </c>
      <c r="V243" s="206">
        <v>0</v>
      </c>
      <c r="W243" s="202"/>
      <c r="X243" s="216">
        <f>SQRT(J243*MAX(J240:J246)/(MAX($J243:$N243)*MAX($J240:$N246)))</f>
        <v>1</v>
      </c>
      <c r="Y243" s="217">
        <f>SQRT(K243*MAX(K240:K246)/(MAX($J243:$N243)*MAX($J240:$N246)))</f>
        <v>1</v>
      </c>
      <c r="Z243" s="217">
        <f>SQRT(L243*MAX(L240:L246)/(MAX($J243:$N243)*MAX($J240:$N246)))</f>
        <v>0.70710678118654757</v>
      </c>
      <c r="AA243" s="217">
        <f>SQRT(M243*MAX(M240:M246)/(MAX($J243:$N243)*MAX($J240:$N246)))</f>
        <v>0.70710678118654757</v>
      </c>
      <c r="AB243" s="218">
        <f>SQRT(N243*MAX(N240:N246)/(MAX($J243:$N243)*MAX($J240:$N246)))</f>
        <v>0.70710678118654757</v>
      </c>
      <c r="AC243" s="206">
        <v>0</v>
      </c>
      <c r="AD243" s="87"/>
      <c r="AE243" s="87"/>
      <c r="AF243" s="87"/>
      <c r="AG243" s="87"/>
      <c r="AH243" s="84"/>
      <c r="AI243" s="66"/>
      <c r="AJ243" s="54"/>
      <c r="AK243" s="54"/>
      <c r="AL243" s="54"/>
    </row>
    <row r="244" spans="1:38" hidden="1" outlineLevel="3" x14ac:dyDescent="0.25">
      <c r="A244" s="54"/>
      <c r="B244" s="63"/>
      <c r="C244" s="99">
        <f t="shared" si="45"/>
        <v>4</v>
      </c>
      <c r="D244" s="84"/>
      <c r="E244" s="79"/>
      <c r="F244" s="79">
        <f t="shared" si="33"/>
        <v>7</v>
      </c>
      <c r="G244" s="84"/>
      <c r="H244" s="87"/>
      <c r="I244" s="198">
        <f t="shared" si="46"/>
        <v>30</v>
      </c>
      <c r="J244" s="233">
        <f t="shared" si="46"/>
        <v>1</v>
      </c>
      <c r="K244" s="234">
        <f t="shared" si="46"/>
        <v>1</v>
      </c>
      <c r="L244" s="234">
        <f t="shared" si="46"/>
        <v>1</v>
      </c>
      <c r="M244" s="234">
        <f t="shared" si="46"/>
        <v>1</v>
      </c>
      <c r="N244" s="235">
        <f t="shared" si="46"/>
        <v>1</v>
      </c>
      <c r="O244" s="201">
        <v>0</v>
      </c>
      <c r="P244" s="202"/>
      <c r="Q244" s="213">
        <f>SQRT(J244*MAX($J244:$N244)/(MAX(J240:J246)*MAX($J240:$N246)))</f>
        <v>0.5</v>
      </c>
      <c r="R244" s="214">
        <f>SQRT(K244*MAX($J244:$N244)/(MAX(K240:K246)*MAX($J240:$N246)))</f>
        <v>0.5</v>
      </c>
      <c r="S244" s="214">
        <f>SQRT(L244*MAX($J244:$N244)/(MAX(L240:L246)*MAX($J240:$N246)))</f>
        <v>0.70710678118654757</v>
      </c>
      <c r="T244" s="214">
        <f>SQRT(M244*MAX($J244:$N244)/(MAX(M240:M246)*MAX($J240:$N246)))</f>
        <v>0.70710678118654757</v>
      </c>
      <c r="U244" s="215">
        <f>SQRT(N244*MAX($J244:$N244)/(MAX(N240:N246)*MAX($J240:$N246)))</f>
        <v>0.70710678118654757</v>
      </c>
      <c r="V244" s="206">
        <v>0</v>
      </c>
      <c r="W244" s="202"/>
      <c r="X244" s="216">
        <f>SQRT(J244*MAX(J240:J246)/(MAX($J244:$N244)*MAX($J240:$N246)))</f>
        <v>1</v>
      </c>
      <c r="Y244" s="217">
        <f>SQRT(K244*MAX(K240:K246)/(MAX($J244:$N244)*MAX($J240:$N246)))</f>
        <v>1</v>
      </c>
      <c r="Z244" s="217">
        <f>SQRT(L244*MAX(L240:L246)/(MAX($J244:$N244)*MAX($J240:$N246)))</f>
        <v>0.70710678118654757</v>
      </c>
      <c r="AA244" s="217">
        <f>SQRT(M244*MAX(M240:M246)/(MAX($J244:$N244)*MAX($J240:$N246)))</f>
        <v>0.70710678118654757</v>
      </c>
      <c r="AB244" s="218">
        <f>SQRT(N244*MAX(N240:N246)/(MAX($J244:$N244)*MAX($J240:$N246)))</f>
        <v>0.70710678118654757</v>
      </c>
      <c r="AC244" s="206">
        <v>0</v>
      </c>
      <c r="AD244" s="87"/>
      <c r="AE244" s="87"/>
      <c r="AF244" s="87"/>
      <c r="AG244" s="87"/>
      <c r="AH244" s="84"/>
      <c r="AI244" s="66"/>
      <c r="AJ244" s="54"/>
      <c r="AK244" s="54"/>
      <c r="AL244" s="54"/>
    </row>
    <row r="245" spans="1:38" hidden="1" outlineLevel="3" x14ac:dyDescent="0.25">
      <c r="A245" s="54"/>
      <c r="B245" s="63"/>
      <c r="C245" s="99">
        <f t="shared" si="45"/>
        <v>4</v>
      </c>
      <c r="D245" s="84"/>
      <c r="E245" s="79"/>
      <c r="F245" s="79">
        <f t="shared" si="33"/>
        <v>7</v>
      </c>
      <c r="G245" s="84"/>
      <c r="H245" s="87"/>
      <c r="I245" s="198">
        <f t="shared" si="46"/>
        <v>30</v>
      </c>
      <c r="J245" s="233">
        <f t="shared" si="46"/>
        <v>1</v>
      </c>
      <c r="K245" s="234">
        <f t="shared" si="46"/>
        <v>1</v>
      </c>
      <c r="L245" s="234">
        <f t="shared" si="46"/>
        <v>1</v>
      </c>
      <c r="M245" s="234">
        <f t="shared" si="46"/>
        <v>1</v>
      </c>
      <c r="N245" s="235">
        <f t="shared" si="46"/>
        <v>1</v>
      </c>
      <c r="O245" s="201">
        <v>0</v>
      </c>
      <c r="P245" s="202"/>
      <c r="Q245" s="213">
        <f>SQRT(J245*MAX($J245:$N245)/(MAX(J240:J246)*MAX($J240:$N246)))</f>
        <v>0.5</v>
      </c>
      <c r="R245" s="214">
        <f>SQRT(K245*MAX($J245:$N245)/(MAX(K240:K246)*MAX($J240:$N246)))</f>
        <v>0.5</v>
      </c>
      <c r="S245" s="214">
        <f>SQRT(L245*MAX($J245:$N245)/(MAX(L240:L246)*MAX($J240:$N246)))</f>
        <v>0.70710678118654757</v>
      </c>
      <c r="T245" s="214">
        <f>SQRT(M245*MAX($J245:$N245)/(MAX(M240:M246)*MAX($J240:$N246)))</f>
        <v>0.70710678118654757</v>
      </c>
      <c r="U245" s="215">
        <f>SQRT(N245*MAX($J245:$N245)/(MAX(N240:N246)*MAX($J240:$N246)))</f>
        <v>0.70710678118654757</v>
      </c>
      <c r="V245" s="206">
        <v>0</v>
      </c>
      <c r="W245" s="202"/>
      <c r="X245" s="216">
        <f>SQRT(J245*MAX(J240:J246)/(MAX($J245:$N245)*MAX($J240:$N246)))</f>
        <v>1</v>
      </c>
      <c r="Y245" s="217">
        <f>SQRT(K245*MAX(K240:K246)/(MAX($J245:$N245)*MAX($J240:$N246)))</f>
        <v>1</v>
      </c>
      <c r="Z245" s="217">
        <f>SQRT(L245*MAX(L240:L246)/(MAX($J245:$N245)*MAX($J240:$N246)))</f>
        <v>0.70710678118654757</v>
      </c>
      <c r="AA245" s="217">
        <f>SQRT(M245*MAX(M240:M246)/(MAX($J245:$N245)*MAX($J240:$N246)))</f>
        <v>0.70710678118654757</v>
      </c>
      <c r="AB245" s="218">
        <f>SQRT(N245*MAX(N240:N246)/(MAX($J245:$N245)*MAX($J240:$N246)))</f>
        <v>0.70710678118654757</v>
      </c>
      <c r="AC245" s="206">
        <v>0</v>
      </c>
      <c r="AD245" s="87"/>
      <c r="AE245" s="87"/>
      <c r="AF245" s="87"/>
      <c r="AG245" s="87"/>
      <c r="AH245" s="84"/>
      <c r="AI245" s="66"/>
      <c r="AJ245" s="54"/>
      <c r="AK245" s="54"/>
      <c r="AL245" s="54"/>
    </row>
    <row r="246" spans="1:38" hidden="1" outlineLevel="3" x14ac:dyDescent="0.25">
      <c r="A246" s="54"/>
      <c r="B246" s="63"/>
      <c r="C246" s="99">
        <f t="shared" si="45"/>
        <v>4</v>
      </c>
      <c r="D246" s="84"/>
      <c r="E246" s="79"/>
      <c r="F246" s="79">
        <f t="shared" si="33"/>
        <v>7</v>
      </c>
      <c r="G246" s="84"/>
      <c r="H246" s="87"/>
      <c r="I246" s="198">
        <f t="shared" si="46"/>
        <v>30</v>
      </c>
      <c r="J246" s="230">
        <f t="shared" si="46"/>
        <v>1</v>
      </c>
      <c r="K246" s="231">
        <f t="shared" si="46"/>
        <v>1</v>
      </c>
      <c r="L246" s="231">
        <f t="shared" si="46"/>
        <v>1</v>
      </c>
      <c r="M246" s="231">
        <f t="shared" si="46"/>
        <v>1</v>
      </c>
      <c r="N246" s="232">
        <f t="shared" si="46"/>
        <v>1</v>
      </c>
      <c r="O246" s="201">
        <v>0</v>
      </c>
      <c r="P246" s="202"/>
      <c r="Q246" s="221">
        <f>SQRT(J246*MAX($J246:$N246)/(MAX(J240:J246)*MAX($J240:$N246)))</f>
        <v>0.5</v>
      </c>
      <c r="R246" s="222">
        <f>SQRT(K246*MAX($J246:$N246)/(MAX(K240:K246)*MAX($J240:$N246)))</f>
        <v>0.5</v>
      </c>
      <c r="S246" s="222">
        <f>SQRT(L246*MAX($J246:$N246)/(MAX(L240:L246)*MAX($J240:$N246)))</f>
        <v>0.70710678118654757</v>
      </c>
      <c r="T246" s="222">
        <f>SQRT(M246*MAX($J246:$N246)/(MAX(M240:M246)*MAX($J240:$N246)))</f>
        <v>0.70710678118654757</v>
      </c>
      <c r="U246" s="223">
        <f>SQRT(N246*MAX($J246:$N246)/(MAX(N240:N246)*MAX($J240:$N246)))</f>
        <v>0.70710678118654757</v>
      </c>
      <c r="V246" s="206">
        <v>0</v>
      </c>
      <c r="W246" s="202"/>
      <c r="X246" s="224">
        <f>SQRT(J246*MAX(J240:J246)/(MAX($J246:$N246)*MAX($J240:$N246)))</f>
        <v>1</v>
      </c>
      <c r="Y246" s="225">
        <f>SQRT(K246*MAX(K240:K246)/(MAX($J246:$N246)*MAX($J240:$N246)))</f>
        <v>1</v>
      </c>
      <c r="Z246" s="225">
        <f>SQRT(L246*MAX(L240:L246)/(MAX($J246:$N246)*MAX($J240:$N246)))</f>
        <v>0.70710678118654757</v>
      </c>
      <c r="AA246" s="225">
        <f>SQRT(M246*MAX(M240:M246)/(MAX($J246:$N246)*MAX($J240:$N246)))</f>
        <v>0.70710678118654757</v>
      </c>
      <c r="AB246" s="226">
        <f>SQRT(N246*MAX(N240:N246)/(MAX($J246:$N246)*MAX($J240:$N246)))</f>
        <v>0.70710678118654757</v>
      </c>
      <c r="AC246" s="206">
        <v>0</v>
      </c>
      <c r="AD246" s="87"/>
      <c r="AE246" s="87"/>
      <c r="AF246" s="87"/>
      <c r="AG246" s="87"/>
      <c r="AH246" s="84"/>
      <c r="AI246" s="66"/>
      <c r="AJ246" s="54"/>
      <c r="AK246" s="54"/>
      <c r="AL246" s="54"/>
    </row>
    <row r="247" spans="1:38" hidden="1" outlineLevel="3" x14ac:dyDescent="0.25">
      <c r="A247" s="54"/>
      <c r="B247" s="63"/>
      <c r="C247" s="99">
        <f t="shared" si="45"/>
        <v>4</v>
      </c>
      <c r="D247" s="84"/>
      <c r="E247" s="79"/>
      <c r="F247" s="79">
        <f t="shared" si="33"/>
        <v>7</v>
      </c>
      <c r="G247" s="84"/>
      <c r="H247" s="87"/>
      <c r="I247" s="108">
        <v>1000</v>
      </c>
      <c r="J247" s="227">
        <v>0</v>
      </c>
      <c r="K247" s="227">
        <v>0</v>
      </c>
      <c r="L247" s="227">
        <v>0</v>
      </c>
      <c r="M247" s="227">
        <v>0</v>
      </c>
      <c r="N247" s="227">
        <v>0</v>
      </c>
      <c r="O247" s="108">
        <v>0</v>
      </c>
      <c r="P247" s="87"/>
      <c r="Q247" s="228">
        <v>0</v>
      </c>
      <c r="R247" s="228">
        <v>0</v>
      </c>
      <c r="S247" s="228">
        <v>0</v>
      </c>
      <c r="T247" s="228">
        <v>0</v>
      </c>
      <c r="U247" s="228">
        <v>0</v>
      </c>
      <c r="V247" s="91">
        <v>0</v>
      </c>
      <c r="W247" s="87"/>
      <c r="X247" s="228">
        <v>0</v>
      </c>
      <c r="Y247" s="228">
        <v>0</v>
      </c>
      <c r="Z247" s="228">
        <v>0</v>
      </c>
      <c r="AA247" s="228">
        <v>0</v>
      </c>
      <c r="AB247" s="228">
        <v>0</v>
      </c>
      <c r="AC247" s="91">
        <v>0</v>
      </c>
      <c r="AD247" s="87"/>
      <c r="AE247" s="87"/>
      <c r="AF247" s="87"/>
      <c r="AG247" s="87"/>
      <c r="AH247" s="84"/>
      <c r="AI247" s="66"/>
      <c r="AJ247" s="54"/>
      <c r="AK247" s="54"/>
      <c r="AL247" s="54"/>
    </row>
    <row r="248" spans="1:38" ht="5.0999999999999996" hidden="1" customHeight="1" outlineLevel="2" x14ac:dyDescent="0.25">
      <c r="A248" s="54"/>
      <c r="B248" s="63"/>
      <c r="C248" s="99">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25">
      <c r="A249" s="54"/>
      <c r="B249" s="63"/>
      <c r="C249" s="99">
        <f>INT($C$153)+1</f>
        <v>2</v>
      </c>
      <c r="D249" s="84"/>
      <c r="E249" s="79"/>
      <c r="F249" s="79"/>
      <c r="G249" s="84"/>
      <c r="H249" s="102" t="s">
        <v>350</v>
      </c>
      <c r="I249" s="103"/>
      <c r="J249" s="104"/>
      <c r="K249" s="104"/>
      <c r="L249" s="104"/>
      <c r="M249" s="104"/>
      <c r="N249" s="104"/>
      <c r="O249" s="104"/>
      <c r="P249" s="104"/>
      <c r="Q249" s="104"/>
      <c r="R249" s="104"/>
      <c r="S249" s="104"/>
      <c r="T249" s="104"/>
      <c r="U249" s="104"/>
      <c r="V249" s="104"/>
      <c r="W249" s="104"/>
      <c r="X249" s="104"/>
      <c r="Y249" s="105"/>
      <c r="Z249" s="105"/>
      <c r="AA249" s="105"/>
      <c r="AB249" s="105"/>
      <c r="AC249" s="105"/>
      <c r="AD249" s="105"/>
      <c r="AE249" s="105"/>
      <c r="AF249" s="105"/>
      <c r="AG249" s="105"/>
      <c r="AH249" s="84"/>
      <c r="AI249" s="66"/>
      <c r="AJ249" s="54"/>
      <c r="AK249" s="54"/>
      <c r="AL249" s="54"/>
    </row>
    <row r="250" spans="1:38" ht="5.0999999999999996" hidden="1" customHeight="1" outlineLevel="3" x14ac:dyDescent="0.25">
      <c r="A250" s="54"/>
      <c r="B250" s="63"/>
      <c r="C250" s="99">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9">
        <f>INT($C$153)+2</f>
        <v>3</v>
      </c>
      <c r="D251" s="84"/>
      <c r="E251" s="79"/>
      <c r="F251" s="79"/>
      <c r="G251" s="84"/>
      <c r="H251" s="87"/>
      <c r="I251" s="87"/>
      <c r="J251" s="91">
        <v>2</v>
      </c>
      <c r="K251" s="149"/>
      <c r="L251" s="149"/>
      <c r="M251" s="149"/>
      <c r="N251" s="149"/>
      <c r="O251" s="149"/>
      <c r="P251" s="149"/>
      <c r="Q251" s="149"/>
      <c r="R251" s="149"/>
      <c r="S251" s="149"/>
      <c r="T251" s="149"/>
      <c r="U251" s="149"/>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9">
        <f>INT($C$153)+2</f>
        <v>3</v>
      </c>
      <c r="D252" s="84"/>
      <c r="E252" s="79"/>
      <c r="F252" s="79"/>
      <c r="G252" s="84"/>
      <c r="H252" s="87"/>
      <c r="I252" s="87"/>
      <c r="J252" s="107" t="s">
        <v>351</v>
      </c>
      <c r="K252" s="107"/>
      <c r="L252" s="107"/>
      <c r="M252" s="107"/>
      <c r="N252" s="107"/>
      <c r="O252" s="107"/>
      <c r="P252" s="107"/>
      <c r="Q252" s="107"/>
      <c r="R252" s="107"/>
      <c r="S252" s="107"/>
      <c r="T252" s="107"/>
      <c r="U252" s="107"/>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9">
        <f>INT($C$153)+2</f>
        <v>3</v>
      </c>
      <c r="D253" s="84"/>
      <c r="E253" s="79"/>
      <c r="F253" s="79"/>
      <c r="G253" s="84"/>
      <c r="H253" s="121"/>
      <c r="I253" s="121"/>
      <c r="J253" s="152" t="s">
        <v>352</v>
      </c>
      <c r="K253" s="152" t="s">
        <v>353</v>
      </c>
      <c r="L253" s="152" t="s">
        <v>354</v>
      </c>
      <c r="M253" s="152" t="s">
        <v>355</v>
      </c>
      <c r="N253" s="152" t="s">
        <v>356</v>
      </c>
      <c r="O253" s="152" t="s">
        <v>357</v>
      </c>
      <c r="P253" s="152" t="s">
        <v>358</v>
      </c>
      <c r="Q253" s="152" t="s">
        <v>359</v>
      </c>
      <c r="R253" s="152" t="s">
        <v>360</v>
      </c>
      <c r="S253" s="152" t="s">
        <v>361</v>
      </c>
      <c r="T253" s="152" t="s">
        <v>362</v>
      </c>
      <c r="U253" s="152" t="s">
        <v>363</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9">
        <f>INT($C$153)+2</f>
        <v>3</v>
      </c>
      <c r="D254" s="84"/>
      <c r="E254" s="79"/>
      <c r="F254" s="79"/>
      <c r="G254" s="84"/>
      <c r="H254" s="236" t="s">
        <v>364</v>
      </c>
      <c r="I254" s="237" t="s">
        <v>365</v>
      </c>
      <c r="J254" s="238">
        <v>0.15</v>
      </c>
      <c r="K254" s="238">
        <v>0.17</v>
      </c>
      <c r="L254" s="238">
        <v>0.19</v>
      </c>
      <c r="M254" s="238">
        <v>0.21</v>
      </c>
      <c r="N254" s="238">
        <v>0.23</v>
      </c>
      <c r="O254" s="238">
        <v>0.25</v>
      </c>
      <c r="P254" s="238">
        <v>0.27</v>
      </c>
      <c r="Q254" s="238">
        <v>0.28999999999999998</v>
      </c>
      <c r="R254" s="238">
        <v>0</v>
      </c>
      <c r="S254" s="238">
        <v>0</v>
      </c>
      <c r="T254" s="238">
        <v>0.05</v>
      </c>
      <c r="U254" s="238">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9">
        <f>INT($C$153)+2</f>
        <v>3</v>
      </c>
      <c r="D255" s="84"/>
      <c r="E255" s="79"/>
      <c r="F255" s="79"/>
      <c r="G255" s="84"/>
      <c r="H255" s="239"/>
      <c r="I255" s="240" t="s">
        <v>366</v>
      </c>
      <c r="J255" s="241">
        <v>-0.1</v>
      </c>
      <c r="K255" s="241">
        <v>-0.1</v>
      </c>
      <c r="L255" s="241">
        <v>-0.1</v>
      </c>
      <c r="M255" s="241">
        <v>0</v>
      </c>
      <c r="N255" s="241">
        <v>0</v>
      </c>
      <c r="O255" s="241">
        <v>0</v>
      </c>
      <c r="P255" s="241">
        <v>0</v>
      </c>
      <c r="Q255" s="241">
        <v>0</v>
      </c>
      <c r="R255" s="241">
        <v>0</v>
      </c>
      <c r="S255" s="241">
        <v>-0.05</v>
      </c>
      <c r="T255" s="241">
        <v>-0.05</v>
      </c>
      <c r="U255" s="241">
        <v>-0.05</v>
      </c>
      <c r="V255" s="87"/>
      <c r="W255" s="109" t="s">
        <v>367</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9">
        <f>INT($C$153)+3</f>
        <v>4</v>
      </c>
      <c r="D256" s="84"/>
      <c r="E256" s="79"/>
      <c r="F256" s="79"/>
      <c r="G256" s="84"/>
      <c r="H256" s="236" t="s">
        <v>368</v>
      </c>
      <c r="I256" s="237" t="s">
        <v>365</v>
      </c>
      <c r="J256" s="238">
        <v>0.15</v>
      </c>
      <c r="K256" s="238">
        <v>0.17</v>
      </c>
      <c r="L256" s="238">
        <v>0.19</v>
      </c>
      <c r="M256" s="238">
        <v>0.21</v>
      </c>
      <c r="N256" s="238">
        <v>0.23</v>
      </c>
      <c r="O256" s="238">
        <v>0.25</v>
      </c>
      <c r="P256" s="238">
        <v>0.27</v>
      </c>
      <c r="Q256" s="238">
        <v>0.28999999999999998</v>
      </c>
      <c r="R256" s="238">
        <v>0</v>
      </c>
      <c r="S256" s="238">
        <v>0</v>
      </c>
      <c r="T256" s="238">
        <v>0.05</v>
      </c>
      <c r="U256" s="238">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9">
        <f>INT($C$153+3)</f>
        <v>4</v>
      </c>
      <c r="D257" s="84"/>
      <c r="E257" s="79"/>
      <c r="F257" s="79"/>
      <c r="G257" s="84"/>
      <c r="H257" s="239"/>
      <c r="I257" s="240" t="s">
        <v>366</v>
      </c>
      <c r="J257" s="241">
        <v>0</v>
      </c>
      <c r="K257" s="241">
        <v>0</v>
      </c>
      <c r="L257" s="241">
        <v>0</v>
      </c>
      <c r="M257" s="241">
        <v>0</v>
      </c>
      <c r="N257" s="241">
        <v>0</v>
      </c>
      <c r="O257" s="241">
        <v>0</v>
      </c>
      <c r="P257" s="241">
        <v>0</v>
      </c>
      <c r="Q257" s="241">
        <v>0</v>
      </c>
      <c r="R257" s="241">
        <v>0</v>
      </c>
      <c r="S257" s="241">
        <v>0</v>
      </c>
      <c r="T257" s="241">
        <v>0</v>
      </c>
      <c r="U257" s="241">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9">
        <f>INT($C$153)+3</f>
        <v>4</v>
      </c>
      <c r="D258" s="84"/>
      <c r="E258" s="79"/>
      <c r="F258" s="79"/>
      <c r="G258" s="84"/>
      <c r="H258" s="236" t="s">
        <v>369</v>
      </c>
      <c r="I258" s="237" t="s">
        <v>365</v>
      </c>
      <c r="J258" s="238">
        <v>0.15</v>
      </c>
      <c r="K258" s="238">
        <v>0.17</v>
      </c>
      <c r="L258" s="238">
        <v>0.19</v>
      </c>
      <c r="M258" s="238">
        <v>0.21</v>
      </c>
      <c r="N258" s="238">
        <v>0.23</v>
      </c>
      <c r="O258" s="238">
        <v>0.25</v>
      </c>
      <c r="P258" s="238">
        <v>0.27</v>
      </c>
      <c r="Q258" s="238">
        <v>0.28999999999999998</v>
      </c>
      <c r="R258" s="238">
        <v>0</v>
      </c>
      <c r="S258" s="238">
        <v>0</v>
      </c>
      <c r="T258" s="238">
        <v>0.05</v>
      </c>
      <c r="U258" s="238">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9">
        <f>INT($C$153+3)</f>
        <v>4</v>
      </c>
      <c r="D259" s="84"/>
      <c r="E259" s="79"/>
      <c r="F259" s="79"/>
      <c r="G259" s="84"/>
      <c r="H259" s="239"/>
      <c r="I259" s="240" t="s">
        <v>366</v>
      </c>
      <c r="J259" s="241">
        <v>0</v>
      </c>
      <c r="K259" s="241">
        <v>0</v>
      </c>
      <c r="L259" s="241">
        <v>0</v>
      </c>
      <c r="M259" s="241">
        <v>0</v>
      </c>
      <c r="N259" s="241">
        <v>0</v>
      </c>
      <c r="O259" s="241">
        <v>0</v>
      </c>
      <c r="P259" s="241">
        <v>0</v>
      </c>
      <c r="Q259" s="241">
        <v>0</v>
      </c>
      <c r="R259" s="241">
        <v>0</v>
      </c>
      <c r="S259" s="241">
        <v>0</v>
      </c>
      <c r="T259" s="241">
        <v>0</v>
      </c>
      <c r="U259" s="241">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9">
        <f>INT($C$153)+3</f>
        <v>4</v>
      </c>
      <c r="D260" s="84"/>
      <c r="E260" s="79"/>
      <c r="F260" s="79"/>
      <c r="G260" s="84"/>
      <c r="H260" s="236" t="s">
        <v>370</v>
      </c>
      <c r="I260" s="237" t="s">
        <v>365</v>
      </c>
      <c r="J260" s="238">
        <v>0.15</v>
      </c>
      <c r="K260" s="238">
        <v>0.17</v>
      </c>
      <c r="L260" s="238">
        <v>0.19</v>
      </c>
      <c r="M260" s="238">
        <v>0.21</v>
      </c>
      <c r="N260" s="238">
        <v>0.23</v>
      </c>
      <c r="O260" s="238">
        <v>0.25</v>
      </c>
      <c r="P260" s="238">
        <v>0.27</v>
      </c>
      <c r="Q260" s="238">
        <v>0.28999999999999998</v>
      </c>
      <c r="R260" s="238">
        <v>0</v>
      </c>
      <c r="S260" s="238">
        <v>0</v>
      </c>
      <c r="T260" s="238">
        <v>0.05</v>
      </c>
      <c r="U260" s="238">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9">
        <f>INT($C$153+3)</f>
        <v>4</v>
      </c>
      <c r="D261" s="84"/>
      <c r="E261" s="79"/>
      <c r="F261" s="79"/>
      <c r="G261" s="84"/>
      <c r="H261" s="239"/>
      <c r="I261" s="240" t="s">
        <v>366</v>
      </c>
      <c r="J261" s="241">
        <v>0</v>
      </c>
      <c r="K261" s="241">
        <v>0</v>
      </c>
      <c r="L261" s="241">
        <v>0</v>
      </c>
      <c r="M261" s="241">
        <v>0</v>
      </c>
      <c r="N261" s="241">
        <v>0</v>
      </c>
      <c r="O261" s="241">
        <v>0</v>
      </c>
      <c r="P261" s="241">
        <v>0</v>
      </c>
      <c r="Q261" s="241">
        <v>0</v>
      </c>
      <c r="R261" s="241">
        <v>0</v>
      </c>
      <c r="S261" s="241">
        <v>0</v>
      </c>
      <c r="T261" s="241">
        <v>0</v>
      </c>
      <c r="U261" s="241">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9">
        <f>INT($C$153)+3</f>
        <v>4</v>
      </c>
      <c r="D262" s="84"/>
      <c r="E262" s="79"/>
      <c r="F262" s="79"/>
      <c r="G262" s="84"/>
      <c r="H262" s="236" t="s">
        <v>371</v>
      </c>
      <c r="I262" s="237" t="s">
        <v>365</v>
      </c>
      <c r="J262" s="238">
        <v>0</v>
      </c>
      <c r="K262" s="238">
        <v>0</v>
      </c>
      <c r="L262" s="238">
        <v>0</v>
      </c>
      <c r="M262" s="238">
        <v>0</v>
      </c>
      <c r="N262" s="238">
        <v>-1</v>
      </c>
      <c r="O262" s="238">
        <v>-1</v>
      </c>
      <c r="P262" s="238">
        <v>-1</v>
      </c>
      <c r="Q262" s="238">
        <v>-1</v>
      </c>
      <c r="R262" s="238">
        <v>0</v>
      </c>
      <c r="S262" s="238">
        <v>0</v>
      </c>
      <c r="T262" s="238">
        <v>0</v>
      </c>
      <c r="U262" s="238">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9">
        <f>INT($C$153+3)</f>
        <v>4</v>
      </c>
      <c r="D263" s="84"/>
      <c r="E263" s="79"/>
      <c r="F263" s="79"/>
      <c r="G263" s="84"/>
      <c r="H263" s="239"/>
      <c r="I263" s="240" t="s">
        <v>366</v>
      </c>
      <c r="J263" s="241">
        <v>0</v>
      </c>
      <c r="K263" s="241">
        <v>0</v>
      </c>
      <c r="L263" s="241">
        <v>0</v>
      </c>
      <c r="M263" s="241">
        <v>0</v>
      </c>
      <c r="N263" s="241">
        <v>0</v>
      </c>
      <c r="O263" s="241">
        <v>0</v>
      </c>
      <c r="P263" s="241">
        <v>0</v>
      </c>
      <c r="Q263" s="241">
        <v>0</v>
      </c>
      <c r="R263" s="241">
        <v>0</v>
      </c>
      <c r="S263" s="241">
        <v>0</v>
      </c>
      <c r="T263" s="241">
        <v>0</v>
      </c>
      <c r="U263" s="241">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9">
        <f>INT($C$153)+3</f>
        <v>4</v>
      </c>
      <c r="D264" s="84"/>
      <c r="E264" s="79"/>
      <c r="F264" s="79"/>
      <c r="G264" s="84"/>
      <c r="H264" s="236" t="s">
        <v>372</v>
      </c>
      <c r="I264" s="237" t="s">
        <v>365</v>
      </c>
      <c r="J264" s="238">
        <v>0</v>
      </c>
      <c r="K264" s="238">
        <v>0</v>
      </c>
      <c r="L264" s="238">
        <v>0</v>
      </c>
      <c r="M264" s="238">
        <v>0</v>
      </c>
      <c r="N264" s="238">
        <v>0</v>
      </c>
      <c r="O264" s="238">
        <v>0</v>
      </c>
      <c r="P264" s="238">
        <v>0</v>
      </c>
      <c r="Q264" s="238">
        <v>0</v>
      </c>
      <c r="R264" s="238">
        <v>0</v>
      </c>
      <c r="S264" s="238">
        <v>0</v>
      </c>
      <c r="T264" s="238">
        <v>0</v>
      </c>
      <c r="U264" s="238">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9">
        <f>INT($C$153+3)</f>
        <v>4</v>
      </c>
      <c r="D265" s="84"/>
      <c r="E265" s="79"/>
      <c r="F265" s="79"/>
      <c r="G265" s="84"/>
      <c r="H265" s="239"/>
      <c r="I265" s="240" t="s">
        <v>366</v>
      </c>
      <c r="J265" s="241">
        <v>-0.1</v>
      </c>
      <c r="K265" s="241">
        <v>-0.1</v>
      </c>
      <c r="L265" s="241">
        <v>-0.1</v>
      </c>
      <c r="M265" s="241">
        <v>-0.1</v>
      </c>
      <c r="N265" s="241">
        <v>-0.1</v>
      </c>
      <c r="O265" s="241">
        <v>-0.1</v>
      </c>
      <c r="P265" s="241">
        <v>-0.1</v>
      </c>
      <c r="Q265" s="241">
        <v>-0.1</v>
      </c>
      <c r="R265" s="241">
        <v>-0.1</v>
      </c>
      <c r="S265" s="241">
        <v>-0.1</v>
      </c>
      <c r="T265" s="241">
        <v>-0.1</v>
      </c>
      <c r="U265" s="241">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9">
        <f>INT($C$153)+3</f>
        <v>4</v>
      </c>
      <c r="D266" s="84"/>
      <c r="E266" s="79"/>
      <c r="F266" s="79"/>
      <c r="G266" s="84"/>
      <c r="H266" s="236" t="s">
        <v>373</v>
      </c>
      <c r="I266" s="237" t="s">
        <v>365</v>
      </c>
      <c r="J266" s="238">
        <v>0.15</v>
      </c>
      <c r="K266" s="238">
        <v>0.17</v>
      </c>
      <c r="L266" s="238">
        <v>0.19</v>
      </c>
      <c r="M266" s="238">
        <v>0.21</v>
      </c>
      <c r="N266" s="238">
        <v>0.23</v>
      </c>
      <c r="O266" s="238">
        <v>0.25</v>
      </c>
      <c r="P266" s="238">
        <v>0.27</v>
      </c>
      <c r="Q266" s="238">
        <v>0.28999999999999998</v>
      </c>
      <c r="R266" s="238">
        <v>0</v>
      </c>
      <c r="S266" s="238">
        <v>0</v>
      </c>
      <c r="T266" s="238">
        <v>0.05</v>
      </c>
      <c r="U266" s="238">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9">
        <f>INT($C$153+3)</f>
        <v>4</v>
      </c>
      <c r="D267" s="84"/>
      <c r="E267" s="79"/>
      <c r="F267" s="79"/>
      <c r="G267" s="84"/>
      <c r="H267" s="239"/>
      <c r="I267" s="240" t="s">
        <v>366</v>
      </c>
      <c r="J267" s="241">
        <v>0</v>
      </c>
      <c r="K267" s="241">
        <v>0</v>
      </c>
      <c r="L267" s="241">
        <v>0</v>
      </c>
      <c r="M267" s="241">
        <v>0</v>
      </c>
      <c r="N267" s="241">
        <v>0</v>
      </c>
      <c r="O267" s="241">
        <v>0</v>
      </c>
      <c r="P267" s="241">
        <v>0</v>
      </c>
      <c r="Q267" s="241">
        <v>0</v>
      </c>
      <c r="R267" s="241">
        <v>0</v>
      </c>
      <c r="S267" s="241">
        <v>0</v>
      </c>
      <c r="T267" s="241">
        <v>0</v>
      </c>
      <c r="U267" s="241">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9">
        <f>INT($C$153)+3</f>
        <v>4</v>
      </c>
      <c r="D268" s="84"/>
      <c r="E268" s="79"/>
      <c r="F268" s="79"/>
      <c r="G268" s="84"/>
      <c r="H268" s="236" t="s">
        <v>374</v>
      </c>
      <c r="I268" s="237" t="s">
        <v>365</v>
      </c>
      <c r="J268" s="238">
        <v>0</v>
      </c>
      <c r="K268" s="238">
        <v>0</v>
      </c>
      <c r="L268" s="238">
        <v>0</v>
      </c>
      <c r="M268" s="238">
        <v>0</v>
      </c>
      <c r="N268" s="238">
        <v>0</v>
      </c>
      <c r="O268" s="238">
        <v>0</v>
      </c>
      <c r="P268" s="238">
        <v>0</v>
      </c>
      <c r="Q268" s="238">
        <v>0</v>
      </c>
      <c r="R268" s="238">
        <v>0</v>
      </c>
      <c r="S268" s="238">
        <v>0</v>
      </c>
      <c r="T268" s="238">
        <v>0</v>
      </c>
      <c r="U268" s="238">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9">
        <f>INT($C$153+3)</f>
        <v>4</v>
      </c>
      <c r="D269" s="84"/>
      <c r="E269" s="79"/>
      <c r="F269" s="79"/>
      <c r="G269" s="84"/>
      <c r="H269" s="239"/>
      <c r="I269" s="240" t="s">
        <v>366</v>
      </c>
      <c r="J269" s="241">
        <v>0</v>
      </c>
      <c r="K269" s="241">
        <v>0</v>
      </c>
      <c r="L269" s="241">
        <v>0</v>
      </c>
      <c r="M269" s="241">
        <v>0</v>
      </c>
      <c r="N269" s="241">
        <v>0</v>
      </c>
      <c r="O269" s="241">
        <v>0</v>
      </c>
      <c r="P269" s="241">
        <v>0</v>
      </c>
      <c r="Q269" s="241">
        <v>0</v>
      </c>
      <c r="R269" s="241">
        <v>0</v>
      </c>
      <c r="S269" s="241">
        <v>0</v>
      </c>
      <c r="T269" s="241">
        <v>0</v>
      </c>
      <c r="U269" s="241">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9">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hidden="1" customHeight="1" outlineLevel="2" x14ac:dyDescent="0.25">
      <c r="A271" s="54"/>
      <c r="B271" s="63"/>
      <c r="C271" s="99">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3"/>
      <c r="C272" s="112">
        <f>INT($C$153)+1.005</f>
        <v>2.0049999999999999</v>
      </c>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6" t="s">
        <v>213</v>
      </c>
      <c r="AJ272" s="54"/>
      <c r="AK272" s="54"/>
      <c r="AL272" s="54"/>
    </row>
    <row r="273" spans="1:38" ht="5.0999999999999996" customHeight="1" collapsed="1" x14ac:dyDescent="0.25">
      <c r="A273" s="54"/>
      <c r="B273" s="97"/>
      <c r="C273" s="114">
        <f>INT($C$153)+0.005</f>
        <v>1.0049999999999999</v>
      </c>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54"/>
      <c r="AK273" s="54"/>
      <c r="AL273" s="54"/>
    </row>
    <row r="274" spans="1:38" hidden="1" outlineLevel="2" x14ac:dyDescent="0.25">
      <c r="A274" s="54"/>
      <c r="B274" s="54"/>
      <c r="C274" s="99">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9">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100">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1">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9">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9">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9">
        <f>INT($C$279)+1.02</f>
        <v>2.02</v>
      </c>
      <c r="D280" s="67"/>
      <c r="E280" s="68" t="s">
        <v>193</v>
      </c>
      <c r="F280" s="74">
        <v>1</v>
      </c>
      <c r="G280" s="75"/>
      <c r="H280" s="76" t="s">
        <v>292</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9">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9">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9">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9">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9">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9">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9">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9">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9">
        <f>INT($C$279)+1</f>
        <v>2</v>
      </c>
      <c r="D289" s="84"/>
      <c r="E289" s="79"/>
      <c r="F289" s="79"/>
      <c r="G289" s="84"/>
      <c r="H289" s="102" t="s">
        <v>375</v>
      </c>
      <c r="I289" s="103"/>
      <c r="J289" s="104"/>
      <c r="K289" s="104"/>
      <c r="L289" s="104"/>
      <c r="M289" s="104"/>
      <c r="N289" s="104"/>
      <c r="O289" s="104"/>
      <c r="P289" s="104"/>
      <c r="Q289" s="104"/>
      <c r="R289" s="104"/>
      <c r="S289" s="104"/>
      <c r="T289" s="104"/>
      <c r="U289" s="104"/>
      <c r="V289" s="104"/>
      <c r="W289" s="104"/>
      <c r="X289" s="104"/>
      <c r="Y289" s="105"/>
      <c r="Z289" s="105"/>
      <c r="AA289" s="105"/>
      <c r="AB289" s="105"/>
      <c r="AC289" s="105"/>
      <c r="AD289" s="105"/>
      <c r="AE289" s="105"/>
      <c r="AF289" s="105"/>
      <c r="AG289" s="105"/>
      <c r="AH289" s="84"/>
      <c r="AI289" s="66"/>
      <c r="AJ289" s="54"/>
      <c r="AK289" s="54"/>
      <c r="AL289" s="54"/>
    </row>
    <row r="290" spans="1:38" ht="5.0999999999999996" hidden="1" customHeight="1" outlineLevel="3" x14ac:dyDescent="0.25">
      <c r="A290" s="54"/>
      <c r="B290" s="63"/>
      <c r="C290" s="99">
        <f>INT($C$279)+3.005</f>
        <v>4.0049999999999999</v>
      </c>
      <c r="D290" s="84" t="s">
        <v>200</v>
      </c>
      <c r="E290" s="84"/>
      <c r="F290" s="84"/>
      <c r="G290" s="84"/>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84"/>
      <c r="AI290" s="66"/>
      <c r="AJ290" s="54"/>
      <c r="AK290" s="54"/>
      <c r="AL290" s="54"/>
    </row>
    <row r="291" spans="1:38" hidden="1" outlineLevel="3" x14ac:dyDescent="0.25">
      <c r="A291" s="54"/>
      <c r="B291" s="63"/>
      <c r="C291" s="99">
        <f t="shared" ref="C291:C299" si="47">INT($C$279)+3</f>
        <v>4</v>
      </c>
      <c r="D291" s="84"/>
      <c r="E291" s="79"/>
      <c r="F291" s="79"/>
      <c r="G291" s="84"/>
      <c r="H291" s="242" t="s">
        <v>376</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9">
        <f t="shared" si="47"/>
        <v>4</v>
      </c>
      <c r="D292" s="84"/>
      <c r="E292" s="79"/>
      <c r="F292" s="79">
        <v>0</v>
      </c>
      <c r="G292" s="84"/>
      <c r="H292" s="243" t="s">
        <v>377</v>
      </c>
      <c r="I292" s="87" t="s">
        <v>378</v>
      </c>
      <c r="J292" s="87"/>
      <c r="K292" s="108" t="s">
        <v>379</v>
      </c>
      <c r="L292" s="108" t="s">
        <v>380</v>
      </c>
      <c r="M292" s="108" t="s">
        <v>381</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9">
        <f t="shared" si="47"/>
        <v>4</v>
      </c>
      <c r="D293" s="84"/>
      <c r="E293" s="79"/>
      <c r="F293" s="79">
        <v>1</v>
      </c>
      <c r="G293" s="84"/>
      <c r="H293" s="243" t="s">
        <v>382</v>
      </c>
      <c r="I293" s="87" t="s">
        <v>383</v>
      </c>
      <c r="J293" s="87"/>
      <c r="K293" s="111">
        <v>2</v>
      </c>
      <c r="L293" s="111">
        <v>1</v>
      </c>
      <c r="M293" s="111">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9">
        <f t="shared" si="47"/>
        <v>4</v>
      </c>
      <c r="D294" s="84"/>
      <c r="E294" s="79"/>
      <c r="F294" s="79">
        <v>2</v>
      </c>
      <c r="G294" s="84"/>
      <c r="H294" s="243" t="s">
        <v>384</v>
      </c>
      <c r="I294" s="87" t="s">
        <v>384</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9">
        <f t="shared" si="47"/>
        <v>4</v>
      </c>
      <c r="D295" s="84"/>
      <c r="E295" s="79"/>
      <c r="F295" s="79">
        <v>3</v>
      </c>
      <c r="G295" s="84"/>
      <c r="H295" s="243" t="s">
        <v>314</v>
      </c>
      <c r="I295" s="87" t="s">
        <v>385</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9">
        <f t="shared" si="47"/>
        <v>4</v>
      </c>
      <c r="D296" s="84"/>
      <c r="E296" s="79"/>
      <c r="F296" s="79">
        <v>4</v>
      </c>
      <c r="G296" s="84"/>
      <c r="H296" s="243" t="s">
        <v>386</v>
      </c>
      <c r="I296" s="87" t="s">
        <v>387</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9">
        <f t="shared" si="47"/>
        <v>4</v>
      </c>
      <c r="D297" s="84"/>
      <c r="E297" s="79"/>
      <c r="F297" s="79">
        <v>5</v>
      </c>
      <c r="G297" s="84"/>
      <c r="H297" s="243" t="s">
        <v>388</v>
      </c>
      <c r="I297" s="87" t="s">
        <v>389</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9">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9">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9">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9">
        <f>INT($C$279)+1</f>
        <v>2</v>
      </c>
      <c r="D301" s="84"/>
      <c r="E301" s="79"/>
      <c r="F301" s="79"/>
      <c r="G301" s="84"/>
      <c r="H301" s="102" t="s">
        <v>2384</v>
      </c>
      <c r="I301" s="103"/>
      <c r="J301" s="104"/>
      <c r="K301" s="104"/>
      <c r="L301" s="104"/>
      <c r="M301" s="104"/>
      <c r="N301" s="104"/>
      <c r="O301" s="104"/>
      <c r="P301" s="104"/>
      <c r="Q301" s="104"/>
      <c r="R301" s="104"/>
      <c r="S301" s="104"/>
      <c r="T301" s="104"/>
      <c r="U301" s="104"/>
      <c r="V301" s="104"/>
      <c r="W301" s="104"/>
      <c r="X301" s="104"/>
      <c r="Y301" s="105"/>
      <c r="Z301" s="105"/>
      <c r="AA301" s="105"/>
      <c r="AB301" s="105"/>
      <c r="AC301" s="105"/>
      <c r="AD301" s="105"/>
      <c r="AE301" s="105"/>
      <c r="AF301" s="105"/>
      <c r="AG301" s="105"/>
      <c r="AH301" s="84"/>
      <c r="AI301" s="66"/>
      <c r="AJ301" s="54"/>
      <c r="AK301" s="54"/>
      <c r="AL301" s="54"/>
    </row>
    <row r="302" spans="1:38" ht="5.0999999999999996" hidden="1" customHeight="1" outlineLevel="3" x14ac:dyDescent="0.25">
      <c r="A302" s="54"/>
      <c r="B302" s="63"/>
      <c r="C302" s="99">
        <f>INT($C$279)+3.005</f>
        <v>4.0049999999999999</v>
      </c>
      <c r="D302" s="84" t="s">
        <v>200</v>
      </c>
      <c r="E302" s="84"/>
      <c r="F302" s="84"/>
      <c r="G302" s="84"/>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84"/>
      <c r="AI302" s="66"/>
      <c r="AJ302" s="54"/>
      <c r="AK302" s="54"/>
      <c r="AL302" s="54"/>
    </row>
    <row r="303" spans="1:38" ht="45" hidden="1" outlineLevel="3" x14ac:dyDescent="0.25">
      <c r="A303" s="54"/>
      <c r="B303" s="63"/>
      <c r="C303" s="99">
        <f t="shared" ref="C303:C308" si="48">INT($C$279)+3</f>
        <v>4</v>
      </c>
      <c r="D303" s="84"/>
      <c r="E303" s="79"/>
      <c r="F303" s="79"/>
      <c r="G303" s="84"/>
      <c r="H303" s="242"/>
      <c r="I303" s="87"/>
      <c r="J303" s="332" t="s">
        <v>2389</v>
      </c>
      <c r="K303" s="332" t="s">
        <v>2385</v>
      </c>
      <c r="L303" s="332" t="s">
        <v>2386</v>
      </c>
      <c r="M303" s="87"/>
      <c r="N303" s="87" t="s">
        <v>2394</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9">
        <f t="shared" si="48"/>
        <v>4</v>
      </c>
      <c r="D304" s="84"/>
      <c r="E304" s="79"/>
      <c r="F304" s="79"/>
      <c r="G304" s="84"/>
      <c r="H304" s="87"/>
      <c r="I304" s="87"/>
      <c r="J304" s="108" t="s">
        <v>2390</v>
      </c>
      <c r="K304" s="108" t="s">
        <v>2387</v>
      </c>
      <c r="L304" s="108" t="s">
        <v>2388</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9">
        <f t="shared" si="48"/>
        <v>4</v>
      </c>
      <c r="D305" s="84"/>
      <c r="E305" s="79"/>
      <c r="F305" s="79">
        <v>0</v>
      </c>
      <c r="G305" s="84"/>
      <c r="H305" s="243" t="s">
        <v>2391</v>
      </c>
      <c r="I305" s="87"/>
      <c r="J305" s="109">
        <v>100000</v>
      </c>
      <c r="K305" s="109">
        <v>2000</v>
      </c>
      <c r="L305" s="109">
        <v>0.15</v>
      </c>
      <c r="M305" s="87"/>
      <c r="N305" s="87" t="s">
        <v>2395</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9">
        <f t="shared" si="48"/>
        <v>4</v>
      </c>
      <c r="D306" s="84"/>
      <c r="E306" s="79"/>
      <c r="F306" s="79">
        <v>1</v>
      </c>
      <c r="G306" s="84"/>
      <c r="H306" s="243" t="s">
        <v>2383</v>
      </c>
      <c r="I306" s="87"/>
      <c r="J306" s="109">
        <v>100000</v>
      </c>
      <c r="K306" s="109">
        <v>2000</v>
      </c>
      <c r="L306" s="109">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9">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9">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9">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9">
        <f>INT($C$279)+1</f>
        <v>2</v>
      </c>
      <c r="D310" s="84"/>
      <c r="E310" s="79"/>
      <c r="F310" s="79"/>
      <c r="G310" s="84"/>
      <c r="H310" s="102" t="s">
        <v>390</v>
      </c>
      <c r="I310" s="103" t="str">
        <f>"("&amp;ROWS(i_husb_requisite_cost_h6)&amp;","&amp;COLUMNS(i_husb_requisite_cost_h6)&amp;"): i_husb_requisite_cost_h5(pointers) = cost applied per unit * amount applied per animal unit"</f>
        <v>(1,14): i_husb_requisite_cost_h5(pointers) = cost applied per unit * amount applied per animal unit</v>
      </c>
      <c r="J310" s="104"/>
      <c r="K310" s="104"/>
      <c r="L310" s="104"/>
      <c r="M310" s="104"/>
      <c r="N310" s="104"/>
      <c r="O310" s="104"/>
      <c r="P310" s="104"/>
      <c r="Q310" s="105"/>
      <c r="R310" s="104"/>
      <c r="S310" s="104"/>
      <c r="T310" s="104"/>
      <c r="U310" s="104"/>
      <c r="V310" s="104"/>
      <c r="W310" s="104"/>
      <c r="X310" s="104"/>
      <c r="Y310" s="104"/>
      <c r="Z310" s="105"/>
      <c r="AA310" s="105"/>
      <c r="AB310" s="105"/>
      <c r="AC310" s="105"/>
      <c r="AD310" s="105"/>
      <c r="AE310" s="105"/>
      <c r="AF310" s="105"/>
      <c r="AG310" s="105"/>
      <c r="AH310" s="84"/>
      <c r="AI310" s="66"/>
      <c r="AJ310" s="54"/>
      <c r="AK310" s="54"/>
      <c r="AL310" s="54"/>
    </row>
    <row r="311" spans="1:38" ht="5.0999999999999996" hidden="1" customHeight="1" outlineLevel="3" x14ac:dyDescent="0.25">
      <c r="A311" s="54"/>
      <c r="B311" s="63"/>
      <c r="C311" s="99">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9">
        <f>INT($C$279)+2</f>
        <v>3</v>
      </c>
      <c r="D312" s="84"/>
      <c r="E312" s="79"/>
      <c r="F312" s="79"/>
      <c r="G312" s="84"/>
      <c r="H312" s="121"/>
      <c r="I312" s="121"/>
      <c r="J312" s="121"/>
      <c r="K312" s="121"/>
      <c r="L312" s="121"/>
      <c r="M312" s="121"/>
      <c r="N312" s="121"/>
      <c r="O312" s="121"/>
      <c r="P312" s="121"/>
      <c r="Q312" s="121"/>
      <c r="R312" s="121"/>
      <c r="S312" s="121"/>
      <c r="T312" s="244" t="s">
        <v>391</v>
      </c>
      <c r="U312" s="244" t="s">
        <v>392</v>
      </c>
      <c r="V312" s="244" t="s">
        <v>393</v>
      </c>
      <c r="W312" s="244" t="s">
        <v>394</v>
      </c>
      <c r="X312" s="244" t="s">
        <v>395</v>
      </c>
      <c r="Y312" s="244" t="s">
        <v>396</v>
      </c>
      <c r="Z312" s="244" t="s">
        <v>397</v>
      </c>
      <c r="AA312" s="244" t="s">
        <v>398</v>
      </c>
      <c r="AB312" s="244" t="s">
        <v>399</v>
      </c>
      <c r="AC312" s="244" t="s">
        <v>400</v>
      </c>
      <c r="AD312" s="244" t="s">
        <v>401</v>
      </c>
      <c r="AE312" s="244" t="s">
        <v>402</v>
      </c>
      <c r="AF312" s="244" t="s">
        <v>403</v>
      </c>
      <c r="AG312" s="244" t="s">
        <v>404</v>
      </c>
      <c r="AH312" s="84"/>
      <c r="AI312" s="66"/>
      <c r="AJ312" s="54"/>
      <c r="AK312" s="54"/>
      <c r="AL312" s="54"/>
    </row>
    <row r="313" spans="1:38" hidden="1" outlineLevel="2" x14ac:dyDescent="0.25">
      <c r="A313" s="54"/>
      <c r="B313" s="63"/>
      <c r="C313" s="99">
        <f>INT($C$279)+2</f>
        <v>3</v>
      </c>
      <c r="D313" s="84"/>
      <c r="E313" s="79"/>
      <c r="F313" s="79"/>
      <c r="G313" s="84"/>
      <c r="H313" s="160"/>
      <c r="I313" s="160"/>
      <c r="J313" s="160"/>
      <c r="K313" s="160"/>
      <c r="L313" s="160"/>
      <c r="M313" s="160"/>
      <c r="N313" s="160"/>
      <c r="O313" s="160"/>
      <c r="P313" s="160"/>
      <c r="Q313" s="160"/>
      <c r="R313" s="160"/>
      <c r="S313" s="160"/>
      <c r="T313" s="245" t="s">
        <v>405</v>
      </c>
      <c r="U313" s="245" t="s">
        <v>406</v>
      </c>
      <c r="V313" s="245"/>
      <c r="W313" s="245"/>
      <c r="X313" s="245" t="s">
        <v>407</v>
      </c>
      <c r="Y313" s="245" t="s">
        <v>408</v>
      </c>
      <c r="Z313" s="245" t="s">
        <v>409</v>
      </c>
      <c r="AA313" s="245"/>
      <c r="AB313" s="245" t="s">
        <v>410</v>
      </c>
      <c r="AC313" s="245" t="s">
        <v>411</v>
      </c>
      <c r="AD313" s="245" t="s">
        <v>412</v>
      </c>
      <c r="AE313" s="245"/>
      <c r="AF313" s="245"/>
      <c r="AG313" s="245" t="s">
        <v>413</v>
      </c>
      <c r="AH313" s="84"/>
      <c r="AI313" s="66"/>
      <c r="AJ313" s="54"/>
      <c r="AK313" s="54"/>
      <c r="AL313" s="54"/>
    </row>
    <row r="314" spans="1:38" hidden="1" outlineLevel="2" x14ac:dyDescent="0.25">
      <c r="A314" s="54"/>
      <c r="B314" s="63"/>
      <c r="C314" s="99">
        <f>INT($C$279)+2</f>
        <v>3</v>
      </c>
      <c r="D314" s="84"/>
      <c r="E314" s="79"/>
      <c r="F314" s="79"/>
      <c r="G314" s="84"/>
      <c r="H314" s="87" t="s">
        <v>414</v>
      </c>
      <c r="I314" s="87"/>
      <c r="J314" s="87"/>
      <c r="K314" s="87"/>
      <c r="L314" s="87"/>
      <c r="M314" s="87"/>
      <c r="N314" s="87"/>
      <c r="O314" s="87"/>
      <c r="P314" s="87"/>
      <c r="Q314" s="87"/>
      <c r="R314" s="87"/>
      <c r="S314" s="87"/>
      <c r="T314" s="246" t="s">
        <v>415</v>
      </c>
      <c r="U314" s="246" t="s">
        <v>416</v>
      </c>
      <c r="V314" s="246" t="s">
        <v>417</v>
      </c>
      <c r="W314" s="246" t="s">
        <v>417</v>
      </c>
      <c r="X314" s="246" t="s">
        <v>418</v>
      </c>
      <c r="Y314" s="246" t="s">
        <v>419</v>
      </c>
      <c r="Z314" s="246" t="s">
        <v>420</v>
      </c>
      <c r="AA314" s="246" t="s">
        <v>421</v>
      </c>
      <c r="AB314" s="246" t="s">
        <v>422</v>
      </c>
      <c r="AC314" s="246" t="s">
        <v>423</v>
      </c>
      <c r="AD314" s="246" t="s">
        <v>423</v>
      </c>
      <c r="AE314" s="246"/>
      <c r="AF314" s="246" t="s">
        <v>424</v>
      </c>
      <c r="AG314" s="246" t="s">
        <v>425</v>
      </c>
      <c r="AH314" s="84"/>
      <c r="AI314" s="66"/>
      <c r="AJ314" s="54"/>
      <c r="AK314" s="54"/>
      <c r="AL314" s="54"/>
    </row>
    <row r="315" spans="1:38" hidden="1" outlineLevel="3" x14ac:dyDescent="0.25">
      <c r="A315" s="54"/>
      <c r="B315" s="63"/>
      <c r="C315" s="99">
        <f>INT($C$279)+3</f>
        <v>4</v>
      </c>
      <c r="D315" s="84"/>
      <c r="E315" s="79"/>
      <c r="F315" s="79"/>
      <c r="G315" s="84"/>
      <c r="H315" s="87" t="s">
        <v>426</v>
      </c>
      <c r="I315" s="87"/>
      <c r="J315" s="87"/>
      <c r="K315" s="87"/>
      <c r="L315" s="87"/>
      <c r="M315" s="87"/>
      <c r="N315" s="87"/>
      <c r="O315" s="87"/>
      <c r="P315" s="87"/>
      <c r="Q315" s="87"/>
      <c r="R315" s="87"/>
      <c r="S315" s="87"/>
      <c r="T315" s="111">
        <v>250</v>
      </c>
      <c r="U315" s="111">
        <v>650</v>
      </c>
      <c r="V315" s="111">
        <v>40</v>
      </c>
      <c r="W315" s="111">
        <v>40</v>
      </c>
      <c r="X315" s="111">
        <v>250</v>
      </c>
      <c r="Y315" s="111">
        <v>640</v>
      </c>
      <c r="Z315" s="111">
        <v>25</v>
      </c>
      <c r="AA315" s="111">
        <v>16.5</v>
      </c>
      <c r="AB315" s="111">
        <v>195</v>
      </c>
      <c r="AC315" s="111"/>
      <c r="AD315" s="111"/>
      <c r="AE315" s="111"/>
      <c r="AF315" s="111">
        <v>585</v>
      </c>
      <c r="AG315" s="111">
        <v>1.35</v>
      </c>
      <c r="AH315" s="84"/>
      <c r="AI315" s="66"/>
      <c r="AJ315" s="54"/>
      <c r="AK315" s="54"/>
      <c r="AL315" s="54"/>
    </row>
    <row r="316" spans="1:38" hidden="1" outlineLevel="3" x14ac:dyDescent="0.25">
      <c r="A316" s="54"/>
      <c r="B316" s="63"/>
      <c r="C316" s="99">
        <f t="shared" ref="C316:C322" si="49">INT($C$279+3)</f>
        <v>4</v>
      </c>
      <c r="D316" s="84"/>
      <c r="E316" s="79"/>
      <c r="F316" s="79"/>
      <c r="G316" s="84"/>
      <c r="H316" s="87" t="s">
        <v>427</v>
      </c>
      <c r="I316" s="87"/>
      <c r="J316" s="87"/>
      <c r="K316" s="87"/>
      <c r="L316" s="87"/>
      <c r="M316" s="87"/>
      <c r="N316" s="87"/>
      <c r="O316" s="87"/>
      <c r="P316" s="87"/>
      <c r="Q316" s="87"/>
      <c r="R316" s="87"/>
      <c r="S316" s="87"/>
      <c r="T316" s="111" t="s">
        <v>428</v>
      </c>
      <c r="U316" s="111" t="s">
        <v>428</v>
      </c>
      <c r="V316" s="111" t="s">
        <v>429</v>
      </c>
      <c r="W316" s="111" t="s">
        <v>429</v>
      </c>
      <c r="X316" s="111" t="s">
        <v>428</v>
      </c>
      <c r="Y316" s="111" t="s">
        <v>428</v>
      </c>
      <c r="Z316" s="111" t="s">
        <v>430</v>
      </c>
      <c r="AA316" s="111" t="s">
        <v>431</v>
      </c>
      <c r="AB316" s="111" t="s">
        <v>428</v>
      </c>
      <c r="AC316" s="111" t="s">
        <v>428</v>
      </c>
      <c r="AD316" s="111" t="s">
        <v>428</v>
      </c>
      <c r="AE316" s="111" t="s">
        <v>428</v>
      </c>
      <c r="AF316" s="111" t="s">
        <v>432</v>
      </c>
      <c r="AG316" s="111" t="s">
        <v>433</v>
      </c>
      <c r="AH316" s="84"/>
      <c r="AI316" s="66"/>
      <c r="AJ316" s="54"/>
      <c r="AK316" s="54"/>
      <c r="AL316" s="54"/>
    </row>
    <row r="317" spans="1:38" hidden="1" outlineLevel="3" x14ac:dyDescent="0.25">
      <c r="A317" s="54"/>
      <c r="B317" s="63"/>
      <c r="C317" s="99">
        <f t="shared" si="49"/>
        <v>4</v>
      </c>
      <c r="D317" s="84"/>
      <c r="E317" s="79"/>
      <c r="F317" s="79"/>
      <c r="G317" s="84"/>
      <c r="H317" s="87" t="s">
        <v>434</v>
      </c>
      <c r="I317" s="87"/>
      <c r="J317" s="87"/>
      <c r="K317" s="87"/>
      <c r="L317" s="87"/>
      <c r="M317" s="87"/>
      <c r="N317" s="87"/>
      <c r="O317" s="87"/>
      <c r="P317" s="87"/>
      <c r="Q317" s="87"/>
      <c r="R317" s="87"/>
      <c r="S317" s="87"/>
      <c r="T317" s="234">
        <f>T315/10000</f>
        <v>2.5000000000000001E-2</v>
      </c>
      <c r="U317" s="234">
        <f>U315/10000</f>
        <v>6.5000000000000002E-2</v>
      </c>
      <c r="V317" s="234">
        <f>V315/100</f>
        <v>0.4</v>
      </c>
      <c r="W317" s="234">
        <f>W315/100</f>
        <v>0.4</v>
      </c>
      <c r="X317" s="234">
        <f>X315/500</f>
        <v>0.5</v>
      </c>
      <c r="Y317" s="234">
        <f>Y315/250</f>
        <v>2.56</v>
      </c>
      <c r="Z317" s="234">
        <f>Z$315/100</f>
        <v>0.25</v>
      </c>
      <c r="AA317" s="234">
        <f>AA315/500</f>
        <v>3.3000000000000002E-2</v>
      </c>
      <c r="AB317" s="234">
        <f>AB315/100</f>
        <v>1.95</v>
      </c>
      <c r="AC317" s="234">
        <f>AC315/20000</f>
        <v>0</v>
      </c>
      <c r="AD317" s="234">
        <f>AD315/20000</f>
        <v>0</v>
      </c>
      <c r="AE317" s="234">
        <f>AE315/1</f>
        <v>0</v>
      </c>
      <c r="AF317" s="234">
        <f>AF$315/50</f>
        <v>11.7</v>
      </c>
      <c r="AG317" s="234">
        <f>AG315*40/4</f>
        <v>13.5</v>
      </c>
      <c r="AH317" s="84"/>
      <c r="AI317" s="66"/>
      <c r="AJ317" s="54"/>
      <c r="AK317" s="54"/>
      <c r="AL317" s="54"/>
    </row>
    <row r="318" spans="1:38" hidden="1" outlineLevel="3" x14ac:dyDescent="0.25">
      <c r="A318" s="54"/>
      <c r="B318" s="63"/>
      <c r="C318" s="99">
        <f t="shared" si="49"/>
        <v>4</v>
      </c>
      <c r="D318" s="84"/>
      <c r="E318" s="79"/>
      <c r="F318" s="79"/>
      <c r="G318" s="84"/>
      <c r="H318" s="87" t="s">
        <v>435</v>
      </c>
      <c r="I318" s="87"/>
      <c r="J318" s="87"/>
      <c r="K318" s="87"/>
      <c r="L318" s="87"/>
      <c r="M318" s="87"/>
      <c r="N318" s="87"/>
      <c r="O318" s="87"/>
      <c r="P318" s="87"/>
      <c r="Q318" s="87"/>
      <c r="R318" s="87"/>
      <c r="S318" s="87"/>
      <c r="T318" s="111">
        <v>3</v>
      </c>
      <c r="U318" s="111">
        <v>3</v>
      </c>
      <c r="V318" s="111">
        <v>0</v>
      </c>
      <c r="W318" s="111">
        <v>0</v>
      </c>
      <c r="X318" s="111">
        <v>0</v>
      </c>
      <c r="Y318" s="111">
        <v>0</v>
      </c>
      <c r="Z318" s="111">
        <v>0</v>
      </c>
      <c r="AA318" s="111">
        <v>5</v>
      </c>
      <c r="AB318" s="111">
        <v>5</v>
      </c>
      <c r="AC318" s="111">
        <v>0</v>
      </c>
      <c r="AD318" s="111">
        <v>0</v>
      </c>
      <c r="AE318" s="111">
        <v>0</v>
      </c>
      <c r="AF318" s="111">
        <v>4</v>
      </c>
      <c r="AG318" s="111">
        <v>2</v>
      </c>
      <c r="AH318" s="84"/>
      <c r="AI318" s="66"/>
      <c r="AJ318" s="54"/>
      <c r="AK318" s="54"/>
      <c r="AL318" s="54"/>
    </row>
    <row r="319" spans="1:38" hidden="1" outlineLevel="3" x14ac:dyDescent="0.25">
      <c r="A319" s="54"/>
      <c r="B319" s="63"/>
      <c r="C319" s="99">
        <f t="shared" si="49"/>
        <v>4</v>
      </c>
      <c r="D319" s="84"/>
      <c r="E319" s="79"/>
      <c r="F319" s="79"/>
      <c r="G319" s="84"/>
      <c r="H319" s="87"/>
      <c r="I319" s="87"/>
      <c r="J319" s="87"/>
      <c r="K319" s="87"/>
      <c r="L319" s="87"/>
      <c r="M319" s="87"/>
      <c r="N319" s="87"/>
      <c r="O319" s="87"/>
      <c r="P319" s="87"/>
      <c r="Q319" s="87"/>
      <c r="R319" s="87"/>
      <c r="S319" s="87"/>
      <c r="T319" s="108" t="str">
        <f t="shared" ref="T319:AG319" si="50">INDEX($H$292:$H$300,T318+1,1)</f>
        <v>LW</v>
      </c>
      <c r="U319" s="108" t="str">
        <f t="shared" si="50"/>
        <v>LW</v>
      </c>
      <c r="V319" s="108" t="str">
        <f t="shared" si="50"/>
        <v>head</v>
      </c>
      <c r="W319" s="108" t="str">
        <f t="shared" si="50"/>
        <v>head</v>
      </c>
      <c r="X319" s="108" t="str">
        <f t="shared" si="50"/>
        <v>head</v>
      </c>
      <c r="Y319" s="108" t="str">
        <f t="shared" si="50"/>
        <v>head</v>
      </c>
      <c r="Z319" s="108" t="str">
        <f t="shared" si="50"/>
        <v>head</v>
      </c>
      <c r="AA319" s="108" t="str">
        <f t="shared" si="50"/>
        <v>nyatf</v>
      </c>
      <c r="AB319" s="108" t="str">
        <f t="shared" si="50"/>
        <v>nyatf</v>
      </c>
      <c r="AC319" s="108" t="str">
        <f t="shared" si="50"/>
        <v>head</v>
      </c>
      <c r="AD319" s="108" t="str">
        <f t="shared" si="50"/>
        <v>head</v>
      </c>
      <c r="AE319" s="108" t="str">
        <f t="shared" si="50"/>
        <v>head</v>
      </c>
      <c r="AF319" s="108" t="str">
        <f t="shared" si="50"/>
        <v>CFW</v>
      </c>
      <c r="AG319" s="108" t="str">
        <f t="shared" si="50"/>
        <v>mob</v>
      </c>
      <c r="AH319" s="84"/>
      <c r="AI319" s="66"/>
      <c r="AJ319" s="54"/>
      <c r="AK319" s="54"/>
      <c r="AL319" s="54"/>
    </row>
    <row r="320" spans="1:38" hidden="1" outlineLevel="3" x14ac:dyDescent="0.25">
      <c r="A320" s="54"/>
      <c r="B320" s="63"/>
      <c r="C320" s="99">
        <f t="shared" si="49"/>
        <v>4</v>
      </c>
      <c r="D320" s="84"/>
      <c r="E320" s="79"/>
      <c r="F320" s="79"/>
      <c r="G320" s="84"/>
      <c r="H320" s="87" t="s">
        <v>436</v>
      </c>
      <c r="I320" s="87"/>
      <c r="J320" s="87"/>
      <c r="K320" s="87"/>
      <c r="L320" s="87"/>
      <c r="M320" s="87"/>
      <c r="N320" s="87"/>
      <c r="O320" s="87"/>
      <c r="P320" s="87"/>
      <c r="Q320" s="87"/>
      <c r="R320" s="87"/>
      <c r="S320" s="87"/>
      <c r="T320" s="111">
        <v>0.1</v>
      </c>
      <c r="U320" s="111">
        <v>0.2</v>
      </c>
      <c r="V320" s="111">
        <v>1</v>
      </c>
      <c r="W320" s="111">
        <v>1</v>
      </c>
      <c r="X320" s="111">
        <v>1</v>
      </c>
      <c r="Y320" s="111">
        <v>1</v>
      </c>
      <c r="Z320" s="111">
        <v>1</v>
      </c>
      <c r="AA320" s="111">
        <v>1</v>
      </c>
      <c r="AB320" s="111">
        <v>1</v>
      </c>
      <c r="AC320" s="111">
        <v>10</v>
      </c>
      <c r="AD320" s="111">
        <v>20</v>
      </c>
      <c r="AE320" s="111"/>
      <c r="AF320" s="247">
        <f>1/$J$137</f>
        <v>5.3763440860215058E-3</v>
      </c>
      <c r="AG320" s="108">
        <v>1</v>
      </c>
      <c r="AH320" s="84"/>
      <c r="AI320" s="66"/>
      <c r="AJ320" s="54"/>
      <c r="AK320" s="54"/>
      <c r="AL320" s="54"/>
    </row>
    <row r="321" spans="1:38" hidden="1" outlineLevel="3" x14ac:dyDescent="0.25">
      <c r="A321" s="54"/>
      <c r="B321" s="63"/>
      <c r="C321" s="99">
        <f t="shared" si="49"/>
        <v>4</v>
      </c>
      <c r="D321" s="84"/>
      <c r="E321" s="79"/>
      <c r="F321" s="79"/>
      <c r="G321" s="84"/>
      <c r="H321" s="87" t="s">
        <v>437</v>
      </c>
      <c r="I321" s="87"/>
      <c r="J321" s="87"/>
      <c r="K321" s="87"/>
      <c r="L321" s="87"/>
      <c r="M321" s="87"/>
      <c r="N321" s="87"/>
      <c r="O321" s="87"/>
      <c r="P321" s="87"/>
      <c r="Q321" s="87"/>
      <c r="R321" s="87"/>
      <c r="S321" s="87"/>
      <c r="T321" s="248">
        <f t="shared" ref="T321:AF321" si="51">T$317*T$320</f>
        <v>2.5000000000000005E-3</v>
      </c>
      <c r="U321" s="248">
        <f t="shared" si="51"/>
        <v>1.3000000000000001E-2</v>
      </c>
      <c r="V321" s="248">
        <f t="shared" si="51"/>
        <v>0.4</v>
      </c>
      <c r="W321" s="248">
        <f t="shared" si="51"/>
        <v>0.4</v>
      </c>
      <c r="X321" s="248">
        <f t="shared" si="51"/>
        <v>0.5</v>
      </c>
      <c r="Y321" s="248">
        <f t="shared" si="51"/>
        <v>2.56</v>
      </c>
      <c r="Z321" s="248">
        <f t="shared" si="51"/>
        <v>0.25</v>
      </c>
      <c r="AA321" s="248">
        <f t="shared" si="51"/>
        <v>3.3000000000000002E-2</v>
      </c>
      <c r="AB321" s="248">
        <f t="shared" si="51"/>
        <v>1.95</v>
      </c>
      <c r="AC321" s="248">
        <f t="shared" si="51"/>
        <v>0</v>
      </c>
      <c r="AD321" s="248">
        <f t="shared" si="51"/>
        <v>0</v>
      </c>
      <c r="AE321" s="248">
        <f t="shared" si="51"/>
        <v>0</v>
      </c>
      <c r="AF321" s="248">
        <f t="shared" si="51"/>
        <v>6.2903225806451621E-2</v>
      </c>
      <c r="AG321" s="248">
        <f>AG317</f>
        <v>13.5</v>
      </c>
      <c r="AH321" s="84"/>
      <c r="AI321" s="66"/>
      <c r="AJ321" s="54"/>
      <c r="AK321" s="54"/>
      <c r="AL321" s="54"/>
    </row>
    <row r="322" spans="1:38" ht="33.75" hidden="1" outlineLevel="3" x14ac:dyDescent="0.25">
      <c r="A322" s="54"/>
      <c r="B322" s="63"/>
      <c r="C322" s="99">
        <f t="shared" si="49"/>
        <v>4</v>
      </c>
      <c r="D322" s="84"/>
      <c r="E322" s="79"/>
      <c r="F322" s="79"/>
      <c r="G322" s="84"/>
      <c r="H322" s="186" t="s">
        <v>438</v>
      </c>
      <c r="I322" s="186"/>
      <c r="J322" s="186"/>
      <c r="K322" s="186"/>
      <c r="L322" s="186"/>
      <c r="M322" s="186"/>
      <c r="N322" s="186"/>
      <c r="O322" s="186"/>
      <c r="P322" s="186"/>
      <c r="Q322" s="186"/>
      <c r="R322" s="186"/>
      <c r="S322" s="186"/>
      <c r="T322" s="249" t="s">
        <v>439</v>
      </c>
      <c r="U322" s="249" t="s">
        <v>440</v>
      </c>
      <c r="V322" s="249"/>
      <c r="W322" s="249"/>
      <c r="X322" s="249" t="s">
        <v>441</v>
      </c>
      <c r="Y322" s="249" t="s">
        <v>442</v>
      </c>
      <c r="Z322" s="249" t="s">
        <v>443</v>
      </c>
      <c r="AA322" s="249" t="s">
        <v>444</v>
      </c>
      <c r="AB322" s="249" t="s">
        <v>445</v>
      </c>
      <c r="AC322" s="249"/>
      <c r="AD322" s="249"/>
      <c r="AE322" s="249"/>
      <c r="AF322" s="249" t="s">
        <v>446</v>
      </c>
      <c r="AG322" s="249"/>
      <c r="AH322" s="84"/>
      <c r="AI322" s="66"/>
      <c r="AJ322" s="54"/>
      <c r="AK322" s="54"/>
      <c r="AL322" s="54"/>
    </row>
    <row r="323" spans="1:38" ht="5.0999999999999996" hidden="1" customHeight="1" outlineLevel="2" x14ac:dyDescent="0.25">
      <c r="A323" s="54"/>
      <c r="B323" s="63"/>
      <c r="C323" s="99">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9">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9">
        <f>INT($C$279)+1</f>
        <v>2</v>
      </c>
      <c r="D325" s="84"/>
      <c r="E325" s="79"/>
      <c r="F325" s="79"/>
      <c r="G325" s="84"/>
      <c r="H325" s="102" t="s">
        <v>447</v>
      </c>
      <c r="I325" s="103" t="str">
        <f>"("&amp;ROWS(i_husb_operations_requisites_prob_h6h2)&amp;","&amp;COLUMNS(i_husb_operations_requisites_prob_h6h2)&amp;"): i_husb_operation_requisites_prob_h2h5(pointers) = input"</f>
        <v>(27,14): i_husb_operation_requisites_prob_h2h5(pointers) = input</v>
      </c>
      <c r="J325" s="104"/>
      <c r="K325" s="104"/>
      <c r="L325" s="105"/>
      <c r="M325" s="104"/>
      <c r="N325" s="104"/>
      <c r="O325" s="104"/>
      <c r="P325" s="104"/>
      <c r="Q325" s="104"/>
      <c r="R325" s="105"/>
      <c r="S325" s="104"/>
      <c r="T325" s="104"/>
      <c r="U325" s="104"/>
      <c r="V325" s="104"/>
      <c r="W325" s="105"/>
      <c r="X325" s="105"/>
      <c r="Y325" s="104"/>
      <c r="Z325" s="105"/>
      <c r="AA325" s="104"/>
      <c r="AB325" s="104"/>
      <c r="AC325" s="105"/>
      <c r="AD325" s="105"/>
      <c r="AE325" s="105"/>
      <c r="AF325" s="105"/>
      <c r="AG325" s="104"/>
      <c r="AH325" s="84"/>
      <c r="AI325" s="66"/>
      <c r="AJ325" s="54"/>
      <c r="AK325" s="54"/>
      <c r="AL325" s="54"/>
    </row>
    <row r="326" spans="1:38" ht="5.0999999999999996" hidden="1" customHeight="1" outlineLevel="3" x14ac:dyDescent="0.25">
      <c r="A326" s="54"/>
      <c r="B326" s="63"/>
      <c r="C326" s="99">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9">
        <f>INT($C$279)+2</f>
        <v>3</v>
      </c>
      <c r="D327" s="84"/>
      <c r="E327" s="79"/>
      <c r="F327" s="79"/>
      <c r="G327" s="84"/>
      <c r="H327" s="87"/>
      <c r="I327" s="87"/>
      <c r="J327" s="87"/>
      <c r="K327" s="108" t="s">
        <v>448</v>
      </c>
      <c r="L327" s="107" t="s">
        <v>449</v>
      </c>
      <c r="M327" s="107"/>
      <c r="N327" s="107"/>
      <c r="O327" s="87"/>
      <c r="P327" s="108" t="s">
        <v>450</v>
      </c>
      <c r="Q327" s="107" t="s">
        <v>451</v>
      </c>
      <c r="R327" s="107"/>
      <c r="S327" s="107" t="s">
        <v>452</v>
      </c>
      <c r="T327" s="107"/>
      <c r="U327" s="107"/>
      <c r="V327" s="107"/>
      <c r="W327" s="107"/>
      <c r="X327" s="107"/>
      <c r="Y327" s="107"/>
      <c r="Z327" s="107"/>
      <c r="AA327" s="107"/>
      <c r="AB327" s="107"/>
      <c r="AC327" s="107"/>
      <c r="AD327" s="107"/>
      <c r="AE327" s="107"/>
      <c r="AF327" s="107"/>
      <c r="AG327" s="107"/>
      <c r="AH327" s="84"/>
      <c r="AI327" s="66"/>
      <c r="AJ327" s="54"/>
      <c r="AK327" s="54"/>
      <c r="AL327" s="54"/>
    </row>
    <row r="328" spans="1:38" hidden="1" outlineLevel="2" x14ac:dyDescent="0.25">
      <c r="A328" s="54"/>
      <c r="B328" s="63"/>
      <c r="C328" s="99">
        <f>INT($C$279)+2</f>
        <v>3</v>
      </c>
      <c r="D328" s="84"/>
      <c r="E328" s="79"/>
      <c r="F328" s="79"/>
      <c r="G328" s="84"/>
      <c r="H328" s="87"/>
      <c r="I328" s="107" t="s">
        <v>453</v>
      </c>
      <c r="J328" s="250"/>
      <c r="K328" s="108" t="s">
        <v>454</v>
      </c>
      <c r="L328" s="107" t="s">
        <v>455</v>
      </c>
      <c r="M328" s="107"/>
      <c r="N328" s="107"/>
      <c r="O328" s="87"/>
      <c r="P328" s="108" t="s">
        <v>456</v>
      </c>
      <c r="Q328" s="87" t="s">
        <v>457</v>
      </c>
      <c r="R328" s="108" t="s">
        <v>458</v>
      </c>
      <c r="S328" s="251"/>
      <c r="T328" s="251" t="str">
        <f t="shared" ref="T328:AG328" si="52">IF(T$313&lt;&gt;"",T$313,T$312)</f>
        <v>Abamectin</v>
      </c>
      <c r="U328" s="251" t="str">
        <f t="shared" si="52"/>
        <v>Q Drench</v>
      </c>
      <c r="V328" s="251" t="str">
        <f t="shared" si="52"/>
        <v>Se bullet</v>
      </c>
      <c r="W328" s="251" t="str">
        <f t="shared" si="52"/>
        <v>Co bullet</v>
      </c>
      <c r="X328" s="251" t="str">
        <f t="shared" si="52"/>
        <v>Glanvac 6S</v>
      </c>
      <c r="Y328" s="251" t="str">
        <f t="shared" si="52"/>
        <v>Gudair</v>
      </c>
      <c r="Z328" s="251" t="str">
        <f t="shared" si="52"/>
        <v>Sidney SP</v>
      </c>
      <c r="AA328" s="251" t="str">
        <f t="shared" si="52"/>
        <v>Rings</v>
      </c>
      <c r="AB328" s="251" t="str">
        <f t="shared" si="52"/>
        <v>Meloxicam</v>
      </c>
      <c r="AC328" s="251" t="str">
        <f t="shared" si="52"/>
        <v>Click</v>
      </c>
      <c r="AD328" s="251" t="str">
        <f t="shared" si="52"/>
        <v>Vetrazin</v>
      </c>
      <c r="AE328" s="251" t="str">
        <f t="shared" si="52"/>
        <v>Footrot treatment</v>
      </c>
      <c r="AF328" s="251" t="str">
        <f t="shared" si="52"/>
        <v>Wool packs</v>
      </c>
      <c r="AG328" s="251" t="str">
        <f t="shared" si="52"/>
        <v>Diesel</v>
      </c>
      <c r="AH328" s="84"/>
      <c r="AI328" s="66"/>
      <c r="AJ328" s="54"/>
      <c r="AK328" s="54"/>
      <c r="AL328" s="54"/>
    </row>
    <row r="329" spans="1:38" hidden="1" outlineLevel="3" x14ac:dyDescent="0.25">
      <c r="A329" s="54"/>
      <c r="B329" s="63"/>
      <c r="C329" s="99">
        <f>INT($C$279)+3</f>
        <v>4</v>
      </c>
      <c r="D329" s="84"/>
      <c r="E329" s="79"/>
      <c r="F329" s="79"/>
      <c r="G329" s="84"/>
      <c r="H329" s="252" t="s">
        <v>459</v>
      </c>
      <c r="I329" s="252" t="s">
        <v>460</v>
      </c>
      <c r="J329" s="252"/>
      <c r="K329" s="190" t="s">
        <v>461</v>
      </c>
      <c r="L329" s="190" t="s">
        <v>462</v>
      </c>
      <c r="M329" s="190" t="s">
        <v>463</v>
      </c>
      <c r="N329" s="190" t="s">
        <v>464</v>
      </c>
      <c r="O329" s="253" t="s">
        <v>465</v>
      </c>
      <c r="P329" s="190" t="s">
        <v>466</v>
      </c>
      <c r="Q329" s="111" t="s">
        <v>2471</v>
      </c>
      <c r="R329" s="111" t="s">
        <v>467</v>
      </c>
      <c r="S329" s="253"/>
      <c r="T329" s="190" t="str">
        <f t="shared" ref="T329:AG329" si="53">T319</f>
        <v>LW</v>
      </c>
      <c r="U329" s="190" t="str">
        <f t="shared" si="53"/>
        <v>LW</v>
      </c>
      <c r="V329" s="190" t="str">
        <f t="shared" si="53"/>
        <v>head</v>
      </c>
      <c r="W329" s="190" t="str">
        <f t="shared" si="53"/>
        <v>head</v>
      </c>
      <c r="X329" s="190" t="str">
        <f t="shared" si="53"/>
        <v>head</v>
      </c>
      <c r="Y329" s="190" t="str">
        <f t="shared" si="53"/>
        <v>head</v>
      </c>
      <c r="Z329" s="190" t="str">
        <f t="shared" si="53"/>
        <v>head</v>
      </c>
      <c r="AA329" s="190" t="str">
        <f t="shared" si="53"/>
        <v>nyatf</v>
      </c>
      <c r="AB329" s="190" t="str">
        <f t="shared" si="53"/>
        <v>nyatf</v>
      </c>
      <c r="AC329" s="190" t="str">
        <f t="shared" si="53"/>
        <v>head</v>
      </c>
      <c r="AD329" s="190" t="str">
        <f t="shared" si="53"/>
        <v>head</v>
      </c>
      <c r="AE329" s="190" t="str">
        <f t="shared" si="53"/>
        <v>head</v>
      </c>
      <c r="AF329" s="190" t="str">
        <f t="shared" si="53"/>
        <v>CFW</v>
      </c>
      <c r="AG329" s="190" t="str">
        <f t="shared" si="53"/>
        <v>mob</v>
      </c>
      <c r="AH329" s="84"/>
      <c r="AI329" s="66"/>
      <c r="AJ329" s="54"/>
      <c r="AK329" s="54"/>
      <c r="AL329" s="54"/>
    </row>
    <row r="330" spans="1:38" hidden="1" outlineLevel="3" x14ac:dyDescent="0.25">
      <c r="A330" s="54"/>
      <c r="B330" s="63"/>
      <c r="C330" s="99">
        <f t="shared" ref="C330:C339" si="54">INT($C$279+3)</f>
        <v>4</v>
      </c>
      <c r="D330" s="84"/>
      <c r="E330" s="79"/>
      <c r="F330" s="79"/>
      <c r="G330" s="84"/>
      <c r="H330" s="117" t="s">
        <v>468</v>
      </c>
      <c r="I330" s="111">
        <v>1</v>
      </c>
      <c r="J330" s="227" t="str">
        <f t="shared" ref="J330:J356" si="55">INDEX($H$292:$H$300,I330+1,1)</f>
        <v>adj head</v>
      </c>
      <c r="K330" s="254">
        <v>0</v>
      </c>
      <c r="L330" s="255">
        <v>0</v>
      </c>
      <c r="M330" s="256">
        <v>0</v>
      </c>
      <c r="N330" s="256">
        <v>300</v>
      </c>
      <c r="O330" s="87"/>
      <c r="P330" s="109">
        <v>0.1</v>
      </c>
      <c r="Q330" s="257">
        <v>0</v>
      </c>
      <c r="R330" s="257">
        <v>0</v>
      </c>
      <c r="S330" s="117"/>
      <c r="T330" s="258">
        <v>1</v>
      </c>
      <c r="U330" s="258">
        <v>0</v>
      </c>
      <c r="V330" s="259">
        <v>0</v>
      </c>
      <c r="W330" s="259">
        <v>0</v>
      </c>
      <c r="X330" s="259">
        <v>0</v>
      </c>
      <c r="Y330" s="259">
        <v>0</v>
      </c>
      <c r="Z330" s="259">
        <v>0</v>
      </c>
      <c r="AA330" s="259">
        <v>0</v>
      </c>
      <c r="AB330" s="259">
        <v>0</v>
      </c>
      <c r="AC330" s="259">
        <v>0</v>
      </c>
      <c r="AD330" s="259">
        <v>0</v>
      </c>
      <c r="AE330" s="259">
        <v>0</v>
      </c>
      <c r="AF330" s="259">
        <v>0</v>
      </c>
      <c r="AG330" s="259">
        <v>0</v>
      </c>
      <c r="AH330" s="84"/>
      <c r="AI330" s="66"/>
      <c r="AJ330" s="54"/>
      <c r="AK330" s="54"/>
      <c r="AL330" s="54"/>
    </row>
    <row r="331" spans="1:38" hidden="1" outlineLevel="3" x14ac:dyDescent="0.25">
      <c r="A331" s="54"/>
      <c r="B331" s="63"/>
      <c r="C331" s="99">
        <f t="shared" si="54"/>
        <v>4</v>
      </c>
      <c r="D331" s="84"/>
      <c r="E331" s="79"/>
      <c r="F331" s="79"/>
      <c r="G331" s="84"/>
      <c r="H331" s="87" t="s">
        <v>469</v>
      </c>
      <c r="I331" s="111">
        <v>1</v>
      </c>
      <c r="J331" s="108" t="str">
        <f t="shared" si="55"/>
        <v>adj head</v>
      </c>
      <c r="K331" s="254">
        <v>0</v>
      </c>
      <c r="L331" s="259">
        <v>0</v>
      </c>
      <c r="M331" s="256">
        <v>0</v>
      </c>
      <c r="N331" s="256">
        <v>300</v>
      </c>
      <c r="O331" s="87"/>
      <c r="P331" s="109">
        <v>0.1</v>
      </c>
      <c r="Q331" s="256">
        <v>0</v>
      </c>
      <c r="R331" s="256">
        <v>0</v>
      </c>
      <c r="S331" s="87"/>
      <c r="T331" s="258">
        <v>1</v>
      </c>
      <c r="U331" s="258">
        <v>0</v>
      </c>
      <c r="V331" s="259">
        <v>0</v>
      </c>
      <c r="W331" s="259">
        <v>0</v>
      </c>
      <c r="X331" s="259">
        <v>0</v>
      </c>
      <c r="Y331" s="259">
        <v>0</v>
      </c>
      <c r="Z331" s="259">
        <v>0</v>
      </c>
      <c r="AA331" s="259">
        <v>0</v>
      </c>
      <c r="AB331" s="259">
        <v>0</v>
      </c>
      <c r="AC331" s="259">
        <v>0</v>
      </c>
      <c r="AD331" s="259">
        <v>0</v>
      </c>
      <c r="AE331" s="259">
        <v>0</v>
      </c>
      <c r="AF331" s="259">
        <v>0</v>
      </c>
      <c r="AG331" s="259">
        <v>0</v>
      </c>
      <c r="AH331" s="84"/>
      <c r="AI331" s="66"/>
      <c r="AJ331" s="54"/>
      <c r="AK331" s="54"/>
      <c r="AL331" s="54"/>
    </row>
    <row r="332" spans="1:38" hidden="1" outlineLevel="3" x14ac:dyDescent="0.25">
      <c r="A332" s="54"/>
      <c r="B332" s="63"/>
      <c r="C332" s="99">
        <f t="shared" si="54"/>
        <v>4</v>
      </c>
      <c r="D332" s="84"/>
      <c r="E332" s="79"/>
      <c r="F332" s="79"/>
      <c r="G332" s="84"/>
      <c r="H332" s="87" t="s">
        <v>470</v>
      </c>
      <c r="I332" s="111">
        <v>0</v>
      </c>
      <c r="J332" s="108" t="str">
        <f t="shared" si="55"/>
        <v>head</v>
      </c>
      <c r="K332" s="254">
        <v>0</v>
      </c>
      <c r="L332" s="259">
        <v>0</v>
      </c>
      <c r="M332" s="256">
        <v>0</v>
      </c>
      <c r="N332" s="256">
        <v>300</v>
      </c>
      <c r="O332" s="87"/>
      <c r="P332" s="109">
        <v>0.1</v>
      </c>
      <c r="Q332" s="256">
        <v>0</v>
      </c>
      <c r="R332" s="256">
        <v>0</v>
      </c>
      <c r="S332" s="87"/>
      <c r="T332" s="258">
        <v>1</v>
      </c>
      <c r="U332" s="258">
        <v>0</v>
      </c>
      <c r="V332" s="259">
        <v>0</v>
      </c>
      <c r="W332" s="259">
        <v>0</v>
      </c>
      <c r="X332" s="259">
        <v>0</v>
      </c>
      <c r="Y332" s="259">
        <v>0</v>
      </c>
      <c r="Z332" s="259">
        <v>0</v>
      </c>
      <c r="AA332" s="259">
        <v>0</v>
      </c>
      <c r="AB332" s="259">
        <v>0</v>
      </c>
      <c r="AC332" s="259">
        <v>0</v>
      </c>
      <c r="AD332" s="259">
        <v>0</v>
      </c>
      <c r="AE332" s="259">
        <v>0</v>
      </c>
      <c r="AF332" s="259">
        <v>0</v>
      </c>
      <c r="AG332" s="259">
        <v>0</v>
      </c>
      <c r="AH332" s="84"/>
      <c r="AI332" s="66"/>
      <c r="AJ332" s="54"/>
      <c r="AK332" s="54"/>
      <c r="AL332" s="54"/>
    </row>
    <row r="333" spans="1:38" hidden="1" outlineLevel="3" x14ac:dyDescent="0.25">
      <c r="A333" s="54"/>
      <c r="B333" s="63"/>
      <c r="C333" s="99">
        <f t="shared" si="54"/>
        <v>4</v>
      </c>
      <c r="D333" s="84"/>
      <c r="E333" s="79"/>
      <c r="F333" s="79"/>
      <c r="G333" s="84"/>
      <c r="H333" s="87" t="s">
        <v>471</v>
      </c>
      <c r="I333" s="111">
        <v>1</v>
      </c>
      <c r="J333" s="108" t="str">
        <f t="shared" si="55"/>
        <v>adj head</v>
      </c>
      <c r="K333" s="254">
        <v>0</v>
      </c>
      <c r="L333" s="259">
        <v>0</v>
      </c>
      <c r="M333" s="256">
        <v>0</v>
      </c>
      <c r="N333" s="256">
        <v>300</v>
      </c>
      <c r="O333" s="87"/>
      <c r="P333" s="109">
        <v>0.1</v>
      </c>
      <c r="Q333" s="256">
        <v>0</v>
      </c>
      <c r="R333" s="256">
        <v>0</v>
      </c>
      <c r="S333" s="87"/>
      <c r="T333" s="259">
        <v>0</v>
      </c>
      <c r="U333" s="259">
        <v>0</v>
      </c>
      <c r="V333" s="259">
        <v>0</v>
      </c>
      <c r="W333" s="259">
        <v>0</v>
      </c>
      <c r="X333" s="258">
        <v>1</v>
      </c>
      <c r="Y333" s="259">
        <v>0</v>
      </c>
      <c r="Z333" s="259">
        <v>0</v>
      </c>
      <c r="AA333" s="259">
        <v>0</v>
      </c>
      <c r="AB333" s="259">
        <v>0</v>
      </c>
      <c r="AC333" s="259">
        <v>0</v>
      </c>
      <c r="AD333" s="259">
        <v>0</v>
      </c>
      <c r="AE333" s="259">
        <v>0</v>
      </c>
      <c r="AF333" s="259">
        <v>0</v>
      </c>
      <c r="AG333" s="259">
        <v>0</v>
      </c>
      <c r="AH333" s="84"/>
      <c r="AI333" s="66"/>
      <c r="AJ333" s="54"/>
      <c r="AK333" s="54"/>
      <c r="AL333" s="54"/>
    </row>
    <row r="334" spans="1:38" hidden="1" outlineLevel="3" x14ac:dyDescent="0.25">
      <c r="A334" s="54"/>
      <c r="B334" s="63"/>
      <c r="C334" s="99">
        <f t="shared" si="54"/>
        <v>4</v>
      </c>
      <c r="D334" s="84"/>
      <c r="E334" s="79"/>
      <c r="F334" s="79"/>
      <c r="G334" s="84"/>
      <c r="H334" s="87" t="s">
        <v>472</v>
      </c>
      <c r="I334" s="111">
        <v>1</v>
      </c>
      <c r="J334" s="108" t="str">
        <f t="shared" si="55"/>
        <v>adj head</v>
      </c>
      <c r="K334" s="254">
        <v>0</v>
      </c>
      <c r="L334" s="259">
        <v>0</v>
      </c>
      <c r="M334" s="256">
        <v>0</v>
      </c>
      <c r="N334" s="256">
        <v>300</v>
      </c>
      <c r="O334" s="87"/>
      <c r="P334" s="109">
        <v>0.1</v>
      </c>
      <c r="Q334" s="256">
        <v>0</v>
      </c>
      <c r="R334" s="256">
        <v>0</v>
      </c>
      <c r="S334" s="87"/>
      <c r="T334" s="259">
        <v>0</v>
      </c>
      <c r="U334" s="259">
        <v>0</v>
      </c>
      <c r="V334" s="259">
        <v>0</v>
      </c>
      <c r="W334" s="259">
        <v>0</v>
      </c>
      <c r="X334" s="259">
        <v>0</v>
      </c>
      <c r="Y334" s="258">
        <v>1</v>
      </c>
      <c r="Z334" s="259">
        <v>0</v>
      </c>
      <c r="AA334" s="259">
        <v>0</v>
      </c>
      <c r="AB334" s="259">
        <v>0</v>
      </c>
      <c r="AC334" s="259">
        <v>0</v>
      </c>
      <c r="AD334" s="259">
        <v>0</v>
      </c>
      <c r="AE334" s="259">
        <v>0</v>
      </c>
      <c r="AF334" s="259">
        <v>0</v>
      </c>
      <c r="AG334" s="259">
        <v>0</v>
      </c>
      <c r="AH334" s="84"/>
      <c r="AI334" s="66"/>
      <c r="AJ334" s="54"/>
      <c r="AK334" s="54"/>
      <c r="AL334" s="54"/>
    </row>
    <row r="335" spans="1:38" hidden="1" outlineLevel="3" x14ac:dyDescent="0.25">
      <c r="A335" s="54"/>
      <c r="B335" s="63"/>
      <c r="C335" s="99">
        <f t="shared" si="54"/>
        <v>4</v>
      </c>
      <c r="D335" s="84"/>
      <c r="E335" s="79"/>
      <c r="F335" s="79"/>
      <c r="G335" s="84"/>
      <c r="H335" s="87" t="s">
        <v>473</v>
      </c>
      <c r="I335" s="111">
        <v>1</v>
      </c>
      <c r="J335" s="108" t="str">
        <f t="shared" si="55"/>
        <v>adj head</v>
      </c>
      <c r="K335" s="254">
        <v>0.5</v>
      </c>
      <c r="L335" s="259">
        <v>0</v>
      </c>
      <c r="M335" s="256">
        <v>0</v>
      </c>
      <c r="N335" s="256">
        <v>200</v>
      </c>
      <c r="O335" s="87"/>
      <c r="P335" s="109">
        <v>0.1</v>
      </c>
      <c r="Q335" s="256">
        <v>0</v>
      </c>
      <c r="R335" s="256">
        <v>0</v>
      </c>
      <c r="S335" s="87"/>
      <c r="T335" s="259">
        <v>0</v>
      </c>
      <c r="U335" s="259">
        <v>0</v>
      </c>
      <c r="V335" s="259">
        <v>0</v>
      </c>
      <c r="W335" s="259">
        <v>0</v>
      </c>
      <c r="X335" s="259">
        <v>0</v>
      </c>
      <c r="Y335" s="259">
        <v>0</v>
      </c>
      <c r="Z335" s="259">
        <v>0</v>
      </c>
      <c r="AA335" s="259">
        <v>0</v>
      </c>
      <c r="AB335" s="259">
        <v>0</v>
      </c>
      <c r="AC335" s="259">
        <v>0</v>
      </c>
      <c r="AD335" s="259">
        <v>0</v>
      </c>
      <c r="AE335" s="258">
        <v>1</v>
      </c>
      <c r="AF335" s="259">
        <v>0</v>
      </c>
      <c r="AG335" s="259">
        <v>0</v>
      </c>
      <c r="AH335" s="84"/>
      <c r="AI335" s="66"/>
      <c r="AJ335" s="54"/>
      <c r="AK335" s="54"/>
      <c r="AL335" s="54"/>
    </row>
    <row r="336" spans="1:38" hidden="1" outlineLevel="3" x14ac:dyDescent="0.25">
      <c r="A336" s="54"/>
      <c r="B336" s="63"/>
      <c r="C336" s="99">
        <f t="shared" si="54"/>
        <v>4</v>
      </c>
      <c r="D336" s="84"/>
      <c r="E336" s="79"/>
      <c r="F336" s="79"/>
      <c r="G336" s="84"/>
      <c r="H336" s="87" t="s">
        <v>474</v>
      </c>
      <c r="I336" s="111">
        <v>0</v>
      </c>
      <c r="J336" s="108" t="str">
        <f t="shared" si="55"/>
        <v>head</v>
      </c>
      <c r="K336" s="254">
        <v>0</v>
      </c>
      <c r="L336" s="259">
        <v>0</v>
      </c>
      <c r="M336" s="256">
        <v>0</v>
      </c>
      <c r="N336" s="256">
        <f>1/(1/200-1/300)</f>
        <v>600</v>
      </c>
      <c r="O336" s="87"/>
      <c r="P336" s="109">
        <v>0.1</v>
      </c>
      <c r="Q336" s="256">
        <v>0</v>
      </c>
      <c r="R336" s="256">
        <v>0</v>
      </c>
      <c r="S336" s="87"/>
      <c r="T336" s="259">
        <v>0</v>
      </c>
      <c r="U336" s="259">
        <v>0</v>
      </c>
      <c r="V336" s="258">
        <v>1</v>
      </c>
      <c r="W336" s="258">
        <v>0</v>
      </c>
      <c r="X336" s="259">
        <v>0</v>
      </c>
      <c r="Y336" s="259">
        <v>0</v>
      </c>
      <c r="Z336" s="259">
        <v>0</v>
      </c>
      <c r="AA336" s="259">
        <v>0</v>
      </c>
      <c r="AB336" s="259">
        <v>0</v>
      </c>
      <c r="AC336" s="259">
        <v>0</v>
      </c>
      <c r="AD336" s="259">
        <v>0</v>
      </c>
      <c r="AE336" s="259">
        <v>0</v>
      </c>
      <c r="AF336" s="259">
        <v>0</v>
      </c>
      <c r="AG336" s="259">
        <v>0</v>
      </c>
      <c r="AH336" s="84"/>
      <c r="AI336" s="66"/>
      <c r="AJ336" s="54"/>
      <c r="AK336" s="54"/>
      <c r="AL336" s="54"/>
    </row>
    <row r="337" spans="1:38" hidden="1" outlineLevel="3" x14ac:dyDescent="0.25">
      <c r="A337" s="54"/>
      <c r="B337" s="63"/>
      <c r="C337" s="99">
        <f t="shared" si="54"/>
        <v>4</v>
      </c>
      <c r="D337" s="84"/>
      <c r="E337" s="79"/>
      <c r="F337" s="79"/>
      <c r="G337" s="84"/>
      <c r="H337" s="87" t="s">
        <v>475</v>
      </c>
      <c r="I337" s="111">
        <v>0</v>
      </c>
      <c r="J337" s="108" t="str">
        <f t="shared" si="55"/>
        <v>head</v>
      </c>
      <c r="K337" s="254">
        <v>0</v>
      </c>
      <c r="L337" s="259">
        <v>0</v>
      </c>
      <c r="M337" s="256">
        <v>0</v>
      </c>
      <c r="N337" s="256">
        <f>1/(1/200-1/300)</f>
        <v>600</v>
      </c>
      <c r="O337" s="87"/>
      <c r="P337" s="109">
        <v>0.1</v>
      </c>
      <c r="Q337" s="256">
        <v>0</v>
      </c>
      <c r="R337" s="256">
        <v>0</v>
      </c>
      <c r="S337" s="87"/>
      <c r="T337" s="259">
        <v>0</v>
      </c>
      <c r="U337" s="259">
        <v>0</v>
      </c>
      <c r="V337" s="259">
        <v>0</v>
      </c>
      <c r="W337" s="258">
        <v>1</v>
      </c>
      <c r="X337" s="259">
        <v>0</v>
      </c>
      <c r="Y337" s="259">
        <v>0</v>
      </c>
      <c r="Z337" s="259">
        <v>0</v>
      </c>
      <c r="AA337" s="259">
        <v>0</v>
      </c>
      <c r="AB337" s="259">
        <v>0</v>
      </c>
      <c r="AC337" s="259">
        <v>0</v>
      </c>
      <c r="AD337" s="259">
        <v>0</v>
      </c>
      <c r="AE337" s="259">
        <v>0</v>
      </c>
      <c r="AF337" s="259">
        <v>0</v>
      </c>
      <c r="AG337" s="259">
        <v>0</v>
      </c>
      <c r="AH337" s="84"/>
      <c r="AI337" s="66"/>
      <c r="AJ337" s="54"/>
      <c r="AK337" s="54"/>
      <c r="AL337" s="54"/>
    </row>
    <row r="338" spans="1:38" hidden="1" outlineLevel="3" x14ac:dyDescent="0.25">
      <c r="A338" s="54"/>
      <c r="B338" s="63"/>
      <c r="C338" s="99">
        <f t="shared" si="54"/>
        <v>4</v>
      </c>
      <c r="D338" s="84"/>
      <c r="E338" s="79"/>
      <c r="F338" s="79"/>
      <c r="G338" s="84"/>
      <c r="H338" s="87" t="s">
        <v>476</v>
      </c>
      <c r="I338" s="111">
        <v>0</v>
      </c>
      <c r="J338" s="108" t="str">
        <f t="shared" si="55"/>
        <v>head</v>
      </c>
      <c r="K338" s="254">
        <v>0</v>
      </c>
      <c r="L338" s="259">
        <v>0</v>
      </c>
      <c r="M338" s="256">
        <v>0</v>
      </c>
      <c r="N338" s="256">
        <v>300</v>
      </c>
      <c r="O338" s="87"/>
      <c r="P338" s="109">
        <v>1</v>
      </c>
      <c r="Q338" s="256">
        <v>0</v>
      </c>
      <c r="R338" s="256">
        <v>0</v>
      </c>
      <c r="S338" s="87"/>
      <c r="T338" s="259">
        <v>0</v>
      </c>
      <c r="U338" s="259">
        <v>0</v>
      </c>
      <c r="V338" s="259">
        <v>0</v>
      </c>
      <c r="W338" s="259">
        <v>0</v>
      </c>
      <c r="X338" s="259">
        <v>0</v>
      </c>
      <c r="Y338" s="259">
        <v>0</v>
      </c>
      <c r="Z338" s="259">
        <v>0</v>
      </c>
      <c r="AA338" s="259">
        <v>0</v>
      </c>
      <c r="AB338" s="259">
        <v>0</v>
      </c>
      <c r="AC338" s="259">
        <v>0</v>
      </c>
      <c r="AD338" s="259">
        <v>0</v>
      </c>
      <c r="AE338" s="259">
        <v>0</v>
      </c>
      <c r="AF338" s="259">
        <v>0</v>
      </c>
      <c r="AG338" s="259">
        <v>0</v>
      </c>
      <c r="AH338" s="84"/>
      <c r="AI338" s="66"/>
      <c r="AJ338" s="54"/>
      <c r="AK338" s="54"/>
      <c r="AL338" s="54"/>
    </row>
    <row r="339" spans="1:38" hidden="1" outlineLevel="3" x14ac:dyDescent="0.25">
      <c r="A339" s="54"/>
      <c r="B339" s="63"/>
      <c r="C339" s="99">
        <f t="shared" si="54"/>
        <v>4</v>
      </c>
      <c r="D339" s="84"/>
      <c r="E339" s="79"/>
      <c r="F339" s="79"/>
      <c r="G339" s="84"/>
      <c r="H339" s="87" t="s">
        <v>477</v>
      </c>
      <c r="I339" s="111">
        <v>0</v>
      </c>
      <c r="J339" s="108" t="str">
        <f t="shared" si="55"/>
        <v>head</v>
      </c>
      <c r="K339" s="254">
        <v>0.5</v>
      </c>
      <c r="L339" s="259">
        <v>0</v>
      </c>
      <c r="M339" s="256">
        <v>0</v>
      </c>
      <c r="N339" s="256">
        <f>4000/(8*2)</f>
        <v>250</v>
      </c>
      <c r="O339" s="87"/>
      <c r="P339" s="109">
        <v>1</v>
      </c>
      <c r="Q339" s="256">
        <v>0</v>
      </c>
      <c r="R339" s="256">
        <v>0</v>
      </c>
      <c r="S339" s="87"/>
      <c r="T339" s="259">
        <v>0</v>
      </c>
      <c r="U339" s="259">
        <v>0</v>
      </c>
      <c r="V339" s="259">
        <v>0</v>
      </c>
      <c r="W339" s="259">
        <v>0</v>
      </c>
      <c r="X339" s="259">
        <v>0</v>
      </c>
      <c r="Y339" s="259">
        <v>0</v>
      </c>
      <c r="Z339" s="259">
        <v>0</v>
      </c>
      <c r="AA339" s="259">
        <v>0</v>
      </c>
      <c r="AB339" s="259">
        <v>0</v>
      </c>
      <c r="AC339" s="259">
        <v>0</v>
      </c>
      <c r="AD339" s="259">
        <v>0</v>
      </c>
      <c r="AE339" s="259">
        <v>0</v>
      </c>
      <c r="AF339" s="259">
        <v>0</v>
      </c>
      <c r="AG339" s="259">
        <v>0</v>
      </c>
      <c r="AH339" s="84"/>
      <c r="AI339" s="66"/>
      <c r="AJ339" s="54"/>
      <c r="AK339" s="54"/>
      <c r="AL339" s="54"/>
    </row>
    <row r="340" spans="1:38" hidden="1" outlineLevel="3" x14ac:dyDescent="0.25">
      <c r="A340" s="54"/>
      <c r="B340" s="63"/>
      <c r="C340" s="99">
        <f>INT($C$279+3)</f>
        <v>4</v>
      </c>
      <c r="D340" s="84"/>
      <c r="E340" s="79"/>
      <c r="F340" s="79"/>
      <c r="G340" s="84"/>
      <c r="H340" s="87" t="s">
        <v>478</v>
      </c>
      <c r="I340" s="111">
        <v>0</v>
      </c>
      <c r="J340" s="108" t="str">
        <f t="shared" si="55"/>
        <v>head</v>
      </c>
      <c r="K340" s="254">
        <v>0.8</v>
      </c>
      <c r="L340" s="259">
        <v>0</v>
      </c>
      <c r="M340" s="256">
        <v>0</v>
      </c>
      <c r="N340" s="256">
        <f>3500/(8*2.5)</f>
        <v>175</v>
      </c>
      <c r="O340" s="87"/>
      <c r="P340" s="109">
        <v>1</v>
      </c>
      <c r="Q340" s="256">
        <v>0</v>
      </c>
      <c r="R340" s="256">
        <v>0</v>
      </c>
      <c r="S340" s="87"/>
      <c r="T340" s="259">
        <v>0</v>
      </c>
      <c r="U340" s="259">
        <v>0</v>
      </c>
      <c r="V340" s="259">
        <v>0</v>
      </c>
      <c r="W340" s="259">
        <v>0</v>
      </c>
      <c r="X340" s="259">
        <v>0</v>
      </c>
      <c r="Y340" s="259">
        <v>0</v>
      </c>
      <c r="Z340" s="259">
        <v>0</v>
      </c>
      <c r="AA340" s="259">
        <v>0</v>
      </c>
      <c r="AB340" s="259">
        <v>0</v>
      </c>
      <c r="AC340" s="259">
        <v>0</v>
      </c>
      <c r="AD340" s="259">
        <v>0</v>
      </c>
      <c r="AE340" s="259">
        <v>0</v>
      </c>
      <c r="AF340" s="259">
        <v>0</v>
      </c>
      <c r="AG340" s="259">
        <v>0</v>
      </c>
      <c r="AH340" s="84"/>
      <c r="AI340" s="66"/>
      <c r="AJ340" s="54"/>
      <c r="AK340" s="54"/>
      <c r="AL340" s="54"/>
    </row>
    <row r="341" spans="1:38" hidden="1" outlineLevel="3" x14ac:dyDescent="0.25">
      <c r="A341" s="54"/>
      <c r="B341" s="63"/>
      <c r="C341" s="99">
        <f>INT($C$279+3)</f>
        <v>4</v>
      </c>
      <c r="D341" s="84"/>
      <c r="E341" s="79"/>
      <c r="F341" s="79"/>
      <c r="G341" s="84"/>
      <c r="H341" s="87" t="s">
        <v>479</v>
      </c>
      <c r="I341" s="111">
        <v>0</v>
      </c>
      <c r="J341" s="108" t="str">
        <f t="shared" si="55"/>
        <v>head</v>
      </c>
      <c r="K341" s="254">
        <v>0.9</v>
      </c>
      <c r="L341" s="259">
        <v>0</v>
      </c>
      <c r="M341" s="256">
        <v>0</v>
      </c>
      <c r="N341" s="256">
        <f>3000/(8*2.5)</f>
        <v>150</v>
      </c>
      <c r="O341" s="87"/>
      <c r="P341" s="109">
        <v>1</v>
      </c>
      <c r="Q341" s="256">
        <v>0</v>
      </c>
      <c r="R341" s="256">
        <v>0</v>
      </c>
      <c r="S341" s="87"/>
      <c r="T341" s="259">
        <v>0</v>
      </c>
      <c r="U341" s="259">
        <v>0</v>
      </c>
      <c r="V341" s="259">
        <v>0</v>
      </c>
      <c r="W341" s="259">
        <v>0</v>
      </c>
      <c r="X341" s="259">
        <v>0</v>
      </c>
      <c r="Y341" s="259">
        <v>0</v>
      </c>
      <c r="Z341" s="259">
        <v>0</v>
      </c>
      <c r="AA341" s="259">
        <v>0</v>
      </c>
      <c r="AB341" s="259">
        <v>0</v>
      </c>
      <c r="AC341" s="259">
        <v>0</v>
      </c>
      <c r="AD341" s="259">
        <v>0</v>
      </c>
      <c r="AE341" s="259">
        <v>0</v>
      </c>
      <c r="AF341" s="259">
        <v>0</v>
      </c>
      <c r="AG341" s="259">
        <v>0</v>
      </c>
      <c r="AH341" s="84"/>
      <c r="AI341" s="66"/>
      <c r="AJ341" s="54"/>
      <c r="AK341" s="54"/>
      <c r="AL341" s="54"/>
    </row>
    <row r="342" spans="1:38" hidden="1" outlineLevel="3" x14ac:dyDescent="0.25">
      <c r="A342" s="54"/>
      <c r="B342" s="63"/>
      <c r="C342" s="99">
        <f>INT($C$279+3)</f>
        <v>4</v>
      </c>
      <c r="D342" s="84"/>
      <c r="E342" s="79"/>
      <c r="F342" s="79"/>
      <c r="G342" s="84"/>
      <c r="H342" s="87" t="s">
        <v>480</v>
      </c>
      <c r="I342" s="111">
        <v>0</v>
      </c>
      <c r="J342" s="108" t="str">
        <f t="shared" si="55"/>
        <v>head</v>
      </c>
      <c r="K342" s="254">
        <v>1</v>
      </c>
      <c r="L342" s="259">
        <v>0</v>
      </c>
      <c r="M342" s="256">
        <v>0</v>
      </c>
      <c r="N342" s="256">
        <f>N341</f>
        <v>150</v>
      </c>
      <c r="O342" s="87"/>
      <c r="P342" s="109">
        <v>1</v>
      </c>
      <c r="Q342" s="256">
        <v>0</v>
      </c>
      <c r="R342" s="256">
        <v>0</v>
      </c>
      <c r="S342" s="87"/>
      <c r="T342" s="259">
        <v>0</v>
      </c>
      <c r="U342" s="259">
        <v>0</v>
      </c>
      <c r="V342" s="259">
        <v>0</v>
      </c>
      <c r="W342" s="259">
        <v>0</v>
      </c>
      <c r="X342" s="259">
        <v>0</v>
      </c>
      <c r="Y342" s="259">
        <v>0</v>
      </c>
      <c r="Z342" s="259">
        <v>0</v>
      </c>
      <c r="AA342" s="259">
        <v>0</v>
      </c>
      <c r="AB342" s="259">
        <v>0</v>
      </c>
      <c r="AC342" s="259">
        <v>0</v>
      </c>
      <c r="AD342" s="259">
        <v>0</v>
      </c>
      <c r="AE342" s="259">
        <v>0</v>
      </c>
      <c r="AF342" s="259">
        <v>0</v>
      </c>
      <c r="AG342" s="259">
        <v>0</v>
      </c>
      <c r="AH342" s="84"/>
      <c r="AI342" s="66"/>
      <c r="AJ342" s="54"/>
      <c r="AK342" s="54"/>
      <c r="AL342" s="54"/>
    </row>
    <row r="343" spans="1:38" hidden="1" outlineLevel="3" x14ac:dyDescent="0.25">
      <c r="A343" s="54"/>
      <c r="B343" s="63"/>
      <c r="C343" s="99">
        <f t="shared" ref="C343:C363" si="56">INT($C$279+3)</f>
        <v>4</v>
      </c>
      <c r="D343" s="84"/>
      <c r="E343" s="79"/>
      <c r="F343" s="79"/>
      <c r="G343" s="84"/>
      <c r="H343" s="87" t="s">
        <v>481</v>
      </c>
      <c r="I343" s="111">
        <v>0</v>
      </c>
      <c r="J343" s="108" t="str">
        <f t="shared" si="55"/>
        <v>head</v>
      </c>
      <c r="K343" s="254">
        <v>0</v>
      </c>
      <c r="L343" s="259">
        <v>0</v>
      </c>
      <c r="M343" s="256">
        <v>0</v>
      </c>
      <c r="N343" s="256">
        <v>400</v>
      </c>
      <c r="O343" s="87"/>
      <c r="P343" s="109">
        <v>0.05</v>
      </c>
      <c r="Q343" s="256">
        <v>0</v>
      </c>
      <c r="R343" s="256">
        <v>0</v>
      </c>
      <c r="S343" s="87"/>
      <c r="T343" s="259">
        <v>0</v>
      </c>
      <c r="U343" s="259">
        <v>0</v>
      </c>
      <c r="V343" s="259">
        <v>0</v>
      </c>
      <c r="W343" s="259">
        <v>0</v>
      </c>
      <c r="X343" s="259">
        <v>0</v>
      </c>
      <c r="Y343" s="259">
        <v>0</v>
      </c>
      <c r="Z343" s="259">
        <v>0</v>
      </c>
      <c r="AA343" s="259">
        <v>0</v>
      </c>
      <c r="AB343" s="259">
        <v>0</v>
      </c>
      <c r="AC343" s="259">
        <v>0</v>
      </c>
      <c r="AD343" s="259">
        <v>0</v>
      </c>
      <c r="AE343" s="259">
        <v>0</v>
      </c>
      <c r="AF343" s="259">
        <v>0</v>
      </c>
      <c r="AG343" s="259">
        <v>0</v>
      </c>
      <c r="AH343" s="84"/>
      <c r="AI343" s="66"/>
      <c r="AJ343" s="54"/>
      <c r="AK343" s="54"/>
      <c r="AL343" s="54"/>
    </row>
    <row r="344" spans="1:38" hidden="1" outlineLevel="3" x14ac:dyDescent="0.25">
      <c r="A344" s="54"/>
      <c r="B344" s="63"/>
      <c r="C344" s="99">
        <f t="shared" si="56"/>
        <v>4</v>
      </c>
      <c r="D344" s="84"/>
      <c r="E344" s="79"/>
      <c r="F344" s="79"/>
      <c r="G344" s="84"/>
      <c r="H344" s="87" t="s">
        <v>482</v>
      </c>
      <c r="I344" s="111">
        <v>5</v>
      </c>
      <c r="J344" s="108" t="str">
        <f t="shared" si="55"/>
        <v>nyatf</v>
      </c>
      <c r="K344" s="254">
        <v>0.6</v>
      </c>
      <c r="L344" s="259">
        <v>0</v>
      </c>
      <c r="M344" s="256">
        <v>0</v>
      </c>
      <c r="N344" s="256">
        <v>225</v>
      </c>
      <c r="O344" s="87"/>
      <c r="P344" s="109">
        <v>1.95</v>
      </c>
      <c r="Q344" s="256">
        <v>0</v>
      </c>
      <c r="R344" s="256">
        <v>0</v>
      </c>
      <c r="S344" s="87"/>
      <c r="T344" s="258">
        <v>0</v>
      </c>
      <c r="U344" s="258">
        <v>0</v>
      </c>
      <c r="V344" s="259">
        <v>0</v>
      </c>
      <c r="W344" s="259">
        <v>0</v>
      </c>
      <c r="X344" s="258">
        <v>1</v>
      </c>
      <c r="Y344" s="258">
        <v>1</v>
      </c>
      <c r="Z344" s="258">
        <v>1</v>
      </c>
      <c r="AA344" s="258">
        <v>1.5</v>
      </c>
      <c r="AB344" s="258">
        <v>0.5</v>
      </c>
      <c r="AC344" s="259">
        <v>0</v>
      </c>
      <c r="AD344" s="259">
        <v>0</v>
      </c>
      <c r="AE344" s="259">
        <v>0</v>
      </c>
      <c r="AF344" s="259">
        <v>0</v>
      </c>
      <c r="AG344" s="259">
        <v>0</v>
      </c>
      <c r="AH344" s="84"/>
      <c r="AI344" s="66"/>
      <c r="AJ344" s="54"/>
      <c r="AK344" s="54"/>
      <c r="AL344" s="54"/>
    </row>
    <row r="345" spans="1:38" hidden="1" outlineLevel="3" x14ac:dyDescent="0.25">
      <c r="A345" s="54"/>
      <c r="B345" s="63"/>
      <c r="C345" s="99">
        <f t="shared" si="56"/>
        <v>4</v>
      </c>
      <c r="D345" s="84"/>
      <c r="E345" s="79"/>
      <c r="F345" s="79"/>
      <c r="G345" s="84"/>
      <c r="H345" s="87" t="s">
        <v>483</v>
      </c>
      <c r="I345" s="111">
        <v>5</v>
      </c>
      <c r="J345" s="108" t="str">
        <f t="shared" si="55"/>
        <v>nyatf</v>
      </c>
      <c r="K345" s="254">
        <v>0.6</v>
      </c>
      <c r="L345" s="259">
        <v>0</v>
      </c>
      <c r="M345" s="256">
        <v>0</v>
      </c>
      <c r="N345" s="256">
        <f>1/(1/150-1/225)</f>
        <v>449.99999999999989</v>
      </c>
      <c r="O345" s="87"/>
      <c r="P345" s="109">
        <v>0</v>
      </c>
      <c r="Q345" s="256">
        <v>0</v>
      </c>
      <c r="R345" s="256">
        <v>0</v>
      </c>
      <c r="S345" s="87"/>
      <c r="T345" s="259">
        <v>0</v>
      </c>
      <c r="U345" s="259">
        <v>0</v>
      </c>
      <c r="V345" s="259">
        <v>0</v>
      </c>
      <c r="W345" s="259">
        <v>0</v>
      </c>
      <c r="X345" s="259">
        <v>0</v>
      </c>
      <c r="Y345" s="259">
        <v>0</v>
      </c>
      <c r="Z345" s="259">
        <v>0</v>
      </c>
      <c r="AA345" s="259">
        <v>0</v>
      </c>
      <c r="AB345" s="258">
        <v>0.5</v>
      </c>
      <c r="AC345" s="259">
        <v>0</v>
      </c>
      <c r="AD345" s="259">
        <v>0</v>
      </c>
      <c r="AE345" s="259">
        <v>0</v>
      </c>
      <c r="AF345" s="259">
        <v>0</v>
      </c>
      <c r="AG345" s="259">
        <v>0</v>
      </c>
      <c r="AH345" s="84"/>
      <c r="AI345" s="66"/>
      <c r="AJ345" s="54"/>
      <c r="AK345" s="54"/>
      <c r="AL345" s="54"/>
    </row>
    <row r="346" spans="1:38" hidden="1" outlineLevel="3" x14ac:dyDescent="0.25">
      <c r="A346" s="54"/>
      <c r="B346" s="63"/>
      <c r="C346" s="99">
        <f t="shared" si="56"/>
        <v>4</v>
      </c>
      <c r="D346" s="84"/>
      <c r="E346" s="79"/>
      <c r="F346" s="79"/>
      <c r="G346" s="84"/>
      <c r="H346" s="87" t="s">
        <v>484</v>
      </c>
      <c r="I346" s="111">
        <v>0</v>
      </c>
      <c r="J346" s="108" t="str">
        <f t="shared" si="55"/>
        <v>head</v>
      </c>
      <c r="K346" s="254">
        <v>0</v>
      </c>
      <c r="L346" s="259">
        <v>0</v>
      </c>
      <c r="M346" s="256">
        <v>0</v>
      </c>
      <c r="N346" s="256">
        <v>500</v>
      </c>
      <c r="O346" s="87"/>
      <c r="P346" s="109">
        <v>0.55000000000000004</v>
      </c>
      <c r="Q346" s="256">
        <v>0</v>
      </c>
      <c r="R346" s="256">
        <v>0</v>
      </c>
      <c r="S346" s="87"/>
      <c r="T346" s="259">
        <v>0</v>
      </c>
      <c r="U346" s="259">
        <v>0</v>
      </c>
      <c r="V346" s="259">
        <v>0</v>
      </c>
      <c r="W346" s="259">
        <v>0</v>
      </c>
      <c r="X346" s="259">
        <v>0</v>
      </c>
      <c r="Y346" s="259">
        <v>0</v>
      </c>
      <c r="Z346" s="259">
        <v>0</v>
      </c>
      <c r="AA346" s="259">
        <v>0</v>
      </c>
      <c r="AB346" s="259">
        <v>0</v>
      </c>
      <c r="AC346" s="259">
        <v>0</v>
      </c>
      <c r="AD346" s="259">
        <v>0</v>
      </c>
      <c r="AE346" s="259">
        <v>0</v>
      </c>
      <c r="AF346" s="259">
        <v>0</v>
      </c>
      <c r="AG346" s="259">
        <v>0</v>
      </c>
      <c r="AH346" s="84"/>
      <c r="AI346" s="66"/>
      <c r="AJ346" s="54"/>
      <c r="AK346" s="54"/>
      <c r="AL346" s="54"/>
    </row>
    <row r="347" spans="1:38" hidden="1" outlineLevel="3" x14ac:dyDescent="0.25">
      <c r="A347" s="54"/>
      <c r="B347" s="63"/>
      <c r="C347" s="99">
        <f t="shared" si="56"/>
        <v>4</v>
      </c>
      <c r="D347" s="84"/>
      <c r="E347" s="79"/>
      <c r="F347" s="79"/>
      <c r="G347" s="84"/>
      <c r="H347" s="87" t="s">
        <v>485</v>
      </c>
      <c r="I347" s="111">
        <v>0</v>
      </c>
      <c r="J347" s="108" t="str">
        <f t="shared" si="55"/>
        <v>head</v>
      </c>
      <c r="K347" s="254">
        <v>0</v>
      </c>
      <c r="L347" s="259">
        <v>0</v>
      </c>
      <c r="M347" s="256">
        <v>0</v>
      </c>
      <c r="N347" s="256">
        <v>150</v>
      </c>
      <c r="O347" s="87"/>
      <c r="P347" s="109">
        <v>0.55000000000000004</v>
      </c>
      <c r="Q347" s="256">
        <v>0</v>
      </c>
      <c r="R347" s="256">
        <v>0</v>
      </c>
      <c r="S347" s="87"/>
      <c r="T347" s="258">
        <v>1</v>
      </c>
      <c r="U347" s="258">
        <v>0</v>
      </c>
      <c r="V347" s="259">
        <v>0</v>
      </c>
      <c r="W347" s="259">
        <v>0</v>
      </c>
      <c r="X347" s="258">
        <v>1</v>
      </c>
      <c r="Y347" s="258">
        <v>0</v>
      </c>
      <c r="Z347" s="258">
        <v>0</v>
      </c>
      <c r="AA347" s="259">
        <v>0</v>
      </c>
      <c r="AB347" s="259">
        <v>0</v>
      </c>
      <c r="AC347" s="259">
        <v>0</v>
      </c>
      <c r="AD347" s="259">
        <v>0</v>
      </c>
      <c r="AE347" s="259">
        <v>0</v>
      </c>
      <c r="AF347" s="259">
        <v>0</v>
      </c>
      <c r="AG347" s="259">
        <v>0</v>
      </c>
      <c r="AH347" s="84"/>
      <c r="AI347" s="66"/>
      <c r="AJ347" s="54"/>
      <c r="AK347" s="54"/>
      <c r="AL347" s="54"/>
    </row>
    <row r="348" spans="1:38" hidden="1" outlineLevel="3" x14ac:dyDescent="0.25">
      <c r="A348" s="54"/>
      <c r="B348" s="63"/>
      <c r="C348" s="99">
        <f t="shared" si="56"/>
        <v>4</v>
      </c>
      <c r="D348" s="84"/>
      <c r="E348" s="79"/>
      <c r="F348" s="79"/>
      <c r="G348" s="84"/>
      <c r="H348" s="87" t="s">
        <v>486</v>
      </c>
      <c r="I348" s="111">
        <v>0</v>
      </c>
      <c r="J348" s="108" t="str">
        <f t="shared" si="55"/>
        <v>head</v>
      </c>
      <c r="K348" s="254">
        <v>0</v>
      </c>
      <c r="L348" s="259">
        <v>0</v>
      </c>
      <c r="M348" s="256">
        <v>300</v>
      </c>
      <c r="N348" s="256">
        <v>0</v>
      </c>
      <c r="O348" s="87"/>
      <c r="P348" s="109">
        <v>0.55000000000000004</v>
      </c>
      <c r="Q348" s="256">
        <v>0</v>
      </c>
      <c r="R348" s="256">
        <v>0</v>
      </c>
      <c r="S348" s="87"/>
      <c r="T348" s="259">
        <v>0</v>
      </c>
      <c r="U348" s="259">
        <v>0</v>
      </c>
      <c r="V348" s="259">
        <v>0</v>
      </c>
      <c r="W348" s="259">
        <v>0</v>
      </c>
      <c r="X348" s="259">
        <v>0</v>
      </c>
      <c r="Y348" s="259">
        <v>0</v>
      </c>
      <c r="Z348" s="259">
        <v>0</v>
      </c>
      <c r="AA348" s="259">
        <v>0</v>
      </c>
      <c r="AB348" s="259">
        <v>0</v>
      </c>
      <c r="AC348" s="259">
        <v>0</v>
      </c>
      <c r="AD348" s="259">
        <v>0</v>
      </c>
      <c r="AE348" s="259">
        <v>0</v>
      </c>
      <c r="AF348" s="259">
        <v>0</v>
      </c>
      <c r="AG348" s="259">
        <v>0</v>
      </c>
      <c r="AH348" s="84"/>
      <c r="AI348" s="66"/>
      <c r="AJ348" s="54"/>
      <c r="AK348" s="54"/>
      <c r="AL348" s="54"/>
    </row>
    <row r="349" spans="1:38" hidden="1" outlineLevel="3" x14ac:dyDescent="0.25">
      <c r="A349" s="54"/>
      <c r="B349" s="63"/>
      <c r="C349" s="99">
        <f t="shared" si="56"/>
        <v>4</v>
      </c>
      <c r="D349" s="84"/>
      <c r="E349" s="79"/>
      <c r="F349" s="79"/>
      <c r="G349" s="84"/>
      <c r="H349" s="87" t="s">
        <v>487</v>
      </c>
      <c r="I349" s="111">
        <v>1</v>
      </c>
      <c r="J349" s="108" t="str">
        <f t="shared" si="55"/>
        <v>adj head</v>
      </c>
      <c r="K349" s="254">
        <v>1.2</v>
      </c>
      <c r="L349" s="259">
        <v>0</v>
      </c>
      <c r="M349" s="256">
        <v>0</v>
      </c>
      <c r="N349" s="256">
        <v>800</v>
      </c>
      <c r="O349" s="87"/>
      <c r="P349" s="109">
        <v>0.1</v>
      </c>
      <c r="Q349" s="256">
        <v>0</v>
      </c>
      <c r="R349" s="256">
        <v>0</v>
      </c>
      <c r="S349" s="87"/>
      <c r="T349" s="259">
        <v>0</v>
      </c>
      <c r="U349" s="259">
        <v>0</v>
      </c>
      <c r="V349" s="259">
        <v>0</v>
      </c>
      <c r="W349" s="259">
        <v>0</v>
      </c>
      <c r="X349" s="259">
        <v>0</v>
      </c>
      <c r="Y349" s="259">
        <v>0</v>
      </c>
      <c r="Z349" s="259">
        <v>0</v>
      </c>
      <c r="AA349" s="259">
        <v>0</v>
      </c>
      <c r="AB349" s="259">
        <v>0</v>
      </c>
      <c r="AC349" s="259">
        <v>0</v>
      </c>
      <c r="AD349" s="259">
        <v>0</v>
      </c>
      <c r="AE349" s="259">
        <v>0</v>
      </c>
      <c r="AF349" s="259">
        <v>0</v>
      </c>
      <c r="AG349" s="259">
        <v>0</v>
      </c>
      <c r="AH349" s="84"/>
      <c r="AI349" s="66"/>
      <c r="AJ349" s="54"/>
      <c r="AK349" s="54"/>
      <c r="AL349" s="54"/>
    </row>
    <row r="350" spans="1:38" hidden="1" outlineLevel="3" x14ac:dyDescent="0.25">
      <c r="A350" s="54"/>
      <c r="B350" s="63"/>
      <c r="C350" s="99">
        <f t="shared" si="56"/>
        <v>4</v>
      </c>
      <c r="D350" s="84"/>
      <c r="E350" s="79"/>
      <c r="F350" s="79"/>
      <c r="G350" s="84"/>
      <c r="H350" s="87" t="s">
        <v>488</v>
      </c>
      <c r="I350" s="111">
        <v>1</v>
      </c>
      <c r="J350" s="108" t="str">
        <f t="shared" si="55"/>
        <v>adj head</v>
      </c>
      <c r="K350" s="254">
        <v>1.2</v>
      </c>
      <c r="L350" s="259">
        <v>0</v>
      </c>
      <c r="M350" s="256">
        <v>0</v>
      </c>
      <c r="N350" s="256">
        <v>800</v>
      </c>
      <c r="O350" s="87"/>
      <c r="P350" s="109">
        <v>0.05</v>
      </c>
      <c r="Q350" s="256">
        <v>0</v>
      </c>
      <c r="R350" s="256">
        <v>0</v>
      </c>
      <c r="S350" s="87"/>
      <c r="T350" s="259">
        <v>0</v>
      </c>
      <c r="U350" s="259">
        <v>0</v>
      </c>
      <c r="V350" s="259">
        <v>0</v>
      </c>
      <c r="W350" s="259">
        <v>0</v>
      </c>
      <c r="X350" s="259">
        <v>0</v>
      </c>
      <c r="Y350" s="259">
        <v>0</v>
      </c>
      <c r="Z350" s="259">
        <v>0</v>
      </c>
      <c r="AA350" s="259">
        <v>0</v>
      </c>
      <c r="AB350" s="259">
        <v>0</v>
      </c>
      <c r="AC350" s="259">
        <v>0</v>
      </c>
      <c r="AD350" s="259">
        <v>0</v>
      </c>
      <c r="AE350" s="259">
        <v>0</v>
      </c>
      <c r="AF350" s="259">
        <v>0</v>
      </c>
      <c r="AG350" s="259">
        <v>0</v>
      </c>
      <c r="AH350" s="84"/>
      <c r="AI350" s="66"/>
      <c r="AJ350" s="54"/>
      <c r="AK350" s="54"/>
      <c r="AL350" s="54"/>
    </row>
    <row r="351" spans="1:38" hidden="1" outlineLevel="3" x14ac:dyDescent="0.25">
      <c r="A351" s="54"/>
      <c r="B351" s="63"/>
      <c r="C351" s="99">
        <f t="shared" si="56"/>
        <v>4</v>
      </c>
      <c r="D351" s="84"/>
      <c r="E351" s="79"/>
      <c r="F351" s="79"/>
      <c r="G351" s="84"/>
      <c r="H351" s="87" t="s">
        <v>489</v>
      </c>
      <c r="I351" s="111">
        <v>0</v>
      </c>
      <c r="J351" s="108" t="str">
        <f t="shared" si="55"/>
        <v>head</v>
      </c>
      <c r="K351" s="254">
        <v>0</v>
      </c>
      <c r="L351" s="259">
        <v>0</v>
      </c>
      <c r="M351" s="256">
        <v>0</v>
      </c>
      <c r="N351" s="256">
        <v>500</v>
      </c>
      <c r="O351" s="87"/>
      <c r="P351" s="109">
        <v>0.1</v>
      </c>
      <c r="Q351" s="256">
        <v>0</v>
      </c>
      <c r="R351" s="256">
        <v>0</v>
      </c>
      <c r="S351" s="87"/>
      <c r="T351" s="259">
        <v>0</v>
      </c>
      <c r="U351" s="259">
        <v>0</v>
      </c>
      <c r="V351" s="259">
        <v>0</v>
      </c>
      <c r="W351" s="259">
        <v>0</v>
      </c>
      <c r="X351" s="259">
        <v>0</v>
      </c>
      <c r="Y351" s="259">
        <v>0</v>
      </c>
      <c r="Z351" s="259">
        <v>0</v>
      </c>
      <c r="AA351" s="259">
        <v>0</v>
      </c>
      <c r="AB351" s="259">
        <v>0</v>
      </c>
      <c r="AC351" s="258">
        <v>1</v>
      </c>
      <c r="AD351" s="259">
        <v>0</v>
      </c>
      <c r="AE351" s="259">
        <v>0</v>
      </c>
      <c r="AF351" s="259">
        <v>0</v>
      </c>
      <c r="AG351" s="259">
        <v>0</v>
      </c>
      <c r="AH351" s="84"/>
      <c r="AI351" s="66"/>
      <c r="AJ351" s="54"/>
      <c r="AK351" s="54"/>
      <c r="AL351" s="54"/>
    </row>
    <row r="352" spans="1:38" hidden="1" outlineLevel="3" x14ac:dyDescent="0.25">
      <c r="A352" s="54"/>
      <c r="B352" s="63"/>
      <c r="C352" s="99">
        <f t="shared" si="56"/>
        <v>4</v>
      </c>
      <c r="D352" s="84"/>
      <c r="E352" s="79"/>
      <c r="F352" s="79"/>
      <c r="G352" s="84"/>
      <c r="H352" s="87" t="s">
        <v>490</v>
      </c>
      <c r="I352" s="111">
        <v>1</v>
      </c>
      <c r="J352" s="108" t="str">
        <f t="shared" si="55"/>
        <v>adj head</v>
      </c>
      <c r="K352" s="254">
        <v>7</v>
      </c>
      <c r="L352" s="259">
        <v>0</v>
      </c>
      <c r="M352" s="256">
        <v>0</v>
      </c>
      <c r="N352" s="256">
        <v>300</v>
      </c>
      <c r="O352" s="87"/>
      <c r="P352" s="109">
        <v>0.55000000000000004</v>
      </c>
      <c r="Q352" s="256">
        <v>0</v>
      </c>
      <c r="R352" s="256">
        <v>1</v>
      </c>
      <c r="S352" s="87"/>
      <c r="T352" s="259">
        <v>0</v>
      </c>
      <c r="U352" s="259">
        <v>0</v>
      </c>
      <c r="V352" s="259">
        <v>0</v>
      </c>
      <c r="W352" s="259">
        <v>0</v>
      </c>
      <c r="X352" s="259">
        <v>0</v>
      </c>
      <c r="Y352" s="259">
        <v>0</v>
      </c>
      <c r="Z352" s="259">
        <v>0</v>
      </c>
      <c r="AA352" s="259">
        <v>0</v>
      </c>
      <c r="AB352" s="259">
        <v>0</v>
      </c>
      <c r="AC352" s="259">
        <v>0</v>
      </c>
      <c r="AD352" s="259">
        <v>0</v>
      </c>
      <c r="AE352" s="259">
        <v>0</v>
      </c>
      <c r="AF352" s="258">
        <v>1</v>
      </c>
      <c r="AG352" s="259">
        <v>0</v>
      </c>
      <c r="AH352" s="84"/>
      <c r="AI352" s="66"/>
      <c r="AJ352" s="54"/>
      <c r="AK352" s="54"/>
      <c r="AL352" s="54"/>
    </row>
    <row r="353" spans="1:38" hidden="1" outlineLevel="3" x14ac:dyDescent="0.25">
      <c r="A353" s="54"/>
      <c r="B353" s="63"/>
      <c r="C353" s="99">
        <f t="shared" si="56"/>
        <v>4</v>
      </c>
      <c r="D353" s="84"/>
      <c r="E353" s="79"/>
      <c r="F353" s="79"/>
      <c r="G353" s="84"/>
      <c r="H353" s="87" t="s">
        <v>491</v>
      </c>
      <c r="I353" s="111">
        <v>0</v>
      </c>
      <c r="J353" s="108" t="str">
        <f t="shared" si="55"/>
        <v>head</v>
      </c>
      <c r="K353" s="254">
        <v>0</v>
      </c>
      <c r="L353" s="259">
        <v>0</v>
      </c>
      <c r="M353" s="256">
        <v>0</v>
      </c>
      <c r="N353" s="256">
        <v>800</v>
      </c>
      <c r="O353" s="87"/>
      <c r="P353" s="109">
        <v>0</v>
      </c>
      <c r="Q353" s="256">
        <v>0</v>
      </c>
      <c r="R353" s="256">
        <v>0</v>
      </c>
      <c r="S353" s="87"/>
      <c r="T353" s="259">
        <v>0</v>
      </c>
      <c r="U353" s="259">
        <v>0</v>
      </c>
      <c r="V353" s="259">
        <v>0</v>
      </c>
      <c r="W353" s="259">
        <v>0</v>
      </c>
      <c r="X353" s="259">
        <v>0</v>
      </c>
      <c r="Y353" s="259">
        <v>0</v>
      </c>
      <c r="Z353" s="259">
        <v>0</v>
      </c>
      <c r="AA353" s="259">
        <v>0</v>
      </c>
      <c r="AB353" s="259">
        <v>0</v>
      </c>
      <c r="AC353" s="259">
        <v>0</v>
      </c>
      <c r="AD353" s="258">
        <v>0.5</v>
      </c>
      <c r="AE353" s="259">
        <v>0</v>
      </c>
      <c r="AF353" s="259">
        <v>0</v>
      </c>
      <c r="AG353" s="259">
        <v>0</v>
      </c>
      <c r="AH353" s="84"/>
      <c r="AI353" s="66"/>
      <c r="AJ353" s="54"/>
      <c r="AK353" s="54"/>
      <c r="AL353" s="54"/>
    </row>
    <row r="354" spans="1:38" hidden="1" outlineLevel="3" x14ac:dyDescent="0.25">
      <c r="A354" s="54"/>
      <c r="B354" s="63"/>
      <c r="C354" s="99">
        <f t="shared" si="56"/>
        <v>4</v>
      </c>
      <c r="D354" s="84"/>
      <c r="E354" s="79"/>
      <c r="F354" s="79"/>
      <c r="G354" s="84"/>
      <c r="H354" s="87" t="s">
        <v>492</v>
      </c>
      <c r="I354" s="111">
        <v>2</v>
      </c>
      <c r="J354" s="108" t="str">
        <f t="shared" si="55"/>
        <v>mob</v>
      </c>
      <c r="K354" s="254">
        <v>0</v>
      </c>
      <c r="L354" s="260">
        <v>0</v>
      </c>
      <c r="M354" s="261">
        <v>2</v>
      </c>
      <c r="N354" s="261">
        <v>0</v>
      </c>
      <c r="O354" s="87"/>
      <c r="P354" s="109">
        <v>0</v>
      </c>
      <c r="Q354" s="261">
        <v>0</v>
      </c>
      <c r="R354" s="261">
        <v>0</v>
      </c>
      <c r="S354" s="87"/>
      <c r="T354" s="259">
        <v>0</v>
      </c>
      <c r="U354" s="259">
        <v>0</v>
      </c>
      <c r="V354" s="259">
        <v>0</v>
      </c>
      <c r="W354" s="259">
        <v>0</v>
      </c>
      <c r="X354" s="259">
        <v>0</v>
      </c>
      <c r="Y354" s="259">
        <v>0</v>
      </c>
      <c r="Z354" s="259">
        <v>0</v>
      </c>
      <c r="AA354" s="259">
        <v>0</v>
      </c>
      <c r="AB354" s="259">
        <v>0</v>
      </c>
      <c r="AC354" s="259">
        <v>0</v>
      </c>
      <c r="AD354" s="259">
        <v>0</v>
      </c>
      <c r="AE354" s="259">
        <v>0</v>
      </c>
      <c r="AF354" s="259">
        <v>0</v>
      </c>
      <c r="AG354" s="258">
        <f>1/SUM($L354:$N354)</f>
        <v>0.5</v>
      </c>
      <c r="AH354" s="84"/>
      <c r="AI354" s="66"/>
      <c r="AJ354" s="54"/>
      <c r="AK354" s="54"/>
      <c r="AL354" s="54"/>
    </row>
    <row r="355" spans="1:38" hidden="1" outlineLevel="3" x14ac:dyDescent="0.25">
      <c r="A355" s="54"/>
      <c r="B355" s="63"/>
      <c r="C355" s="99">
        <f t="shared" si="56"/>
        <v>4</v>
      </c>
      <c r="D355" s="84"/>
      <c r="E355" s="79"/>
      <c r="F355" s="79"/>
      <c r="G355" s="84"/>
      <c r="H355" s="87" t="s">
        <v>493</v>
      </c>
      <c r="I355" s="111">
        <v>2</v>
      </c>
      <c r="J355" s="108" t="str">
        <f t="shared" si="55"/>
        <v>mob</v>
      </c>
      <c r="K355" s="254">
        <v>0</v>
      </c>
      <c r="L355" s="260">
        <v>0</v>
      </c>
      <c r="M355" s="261">
        <v>2</v>
      </c>
      <c r="N355" s="261">
        <v>0</v>
      </c>
      <c r="O355" s="87"/>
      <c r="P355" s="109">
        <v>0</v>
      </c>
      <c r="Q355" s="261">
        <v>0</v>
      </c>
      <c r="R355" s="261">
        <v>0</v>
      </c>
      <c r="S355" s="87"/>
      <c r="T355" s="259">
        <v>0</v>
      </c>
      <c r="U355" s="259">
        <v>0</v>
      </c>
      <c r="V355" s="259">
        <v>0</v>
      </c>
      <c r="W355" s="259">
        <v>0</v>
      </c>
      <c r="X355" s="259">
        <v>0</v>
      </c>
      <c r="Y355" s="259">
        <v>0</v>
      </c>
      <c r="Z355" s="259">
        <v>0</v>
      </c>
      <c r="AA355" s="259">
        <v>0</v>
      </c>
      <c r="AB355" s="259">
        <v>0</v>
      </c>
      <c r="AC355" s="259">
        <v>0</v>
      </c>
      <c r="AD355" s="259">
        <v>0</v>
      </c>
      <c r="AE355" s="259">
        <v>0</v>
      </c>
      <c r="AF355" s="259">
        <v>0</v>
      </c>
      <c r="AG355" s="258">
        <f>1/SUM($L355:$N355)</f>
        <v>0.5</v>
      </c>
      <c r="AH355" s="84"/>
      <c r="AI355" s="66"/>
      <c r="AJ355" s="54"/>
      <c r="AK355" s="54"/>
      <c r="AL355" s="54"/>
    </row>
    <row r="356" spans="1:38" hidden="1" outlineLevel="3" x14ac:dyDescent="0.25">
      <c r="A356" s="54"/>
      <c r="B356" s="63"/>
      <c r="C356" s="99">
        <f t="shared" si="56"/>
        <v>4</v>
      </c>
      <c r="D356" s="84"/>
      <c r="E356" s="79"/>
      <c r="F356" s="79"/>
      <c r="G356" s="84"/>
      <c r="H356" s="87" t="s">
        <v>494</v>
      </c>
      <c r="I356" s="111">
        <v>2</v>
      </c>
      <c r="J356" s="108" t="str">
        <f t="shared" si="55"/>
        <v>mob</v>
      </c>
      <c r="K356" s="254">
        <v>0</v>
      </c>
      <c r="L356" s="260">
        <v>0</v>
      </c>
      <c r="M356" s="261">
        <v>2</v>
      </c>
      <c r="N356" s="261">
        <v>0</v>
      </c>
      <c r="O356" s="87"/>
      <c r="P356" s="109">
        <v>0</v>
      </c>
      <c r="Q356" s="261">
        <v>0</v>
      </c>
      <c r="R356" s="261">
        <v>0</v>
      </c>
      <c r="S356" s="87"/>
      <c r="T356" s="263">
        <v>0</v>
      </c>
      <c r="U356" s="263">
        <v>0</v>
      </c>
      <c r="V356" s="263">
        <v>0</v>
      </c>
      <c r="W356" s="263">
        <v>0</v>
      </c>
      <c r="X356" s="263">
        <v>0</v>
      </c>
      <c r="Y356" s="263">
        <v>0</v>
      </c>
      <c r="Z356" s="263">
        <v>0</v>
      </c>
      <c r="AA356" s="263">
        <v>0</v>
      </c>
      <c r="AB356" s="263">
        <v>0</v>
      </c>
      <c r="AC356" s="263">
        <v>0</v>
      </c>
      <c r="AD356" s="263">
        <v>0</v>
      </c>
      <c r="AE356" s="263">
        <v>0</v>
      </c>
      <c r="AF356" s="263">
        <v>0</v>
      </c>
      <c r="AG356" s="258">
        <f>1/SUM($L356:$N356)</f>
        <v>0.5</v>
      </c>
      <c r="AH356" s="84"/>
      <c r="AI356" s="66"/>
      <c r="AJ356" s="54"/>
      <c r="AK356" s="54"/>
      <c r="AL356" s="54"/>
    </row>
    <row r="357" spans="1:38" ht="5.0999999999999996" hidden="1" customHeight="1" outlineLevel="2" x14ac:dyDescent="0.25">
      <c r="A357" s="54"/>
      <c r="B357" s="63"/>
      <c r="C357" s="99">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25">
      <c r="A358" s="54"/>
      <c r="B358" s="63"/>
      <c r="C358" s="99">
        <f t="shared" si="56"/>
        <v>4</v>
      </c>
      <c r="D358" s="84"/>
      <c r="E358" s="79"/>
      <c r="F358" s="79"/>
      <c r="G358" s="84"/>
      <c r="H358" s="121"/>
      <c r="I358" s="121"/>
      <c r="J358" s="91">
        <f>COUNTA(ia_h8_h4)</f>
        <v>1</v>
      </c>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84"/>
      <c r="AI358" s="66"/>
      <c r="AJ358" s="54"/>
      <c r="AK358" s="54"/>
      <c r="AL358" s="54"/>
    </row>
    <row r="359" spans="1:38" hidden="1" outlineLevel="3" x14ac:dyDescent="0.25">
      <c r="A359" s="54"/>
      <c r="B359" s="63"/>
      <c r="C359" s="99">
        <f t="shared" si="56"/>
        <v>4</v>
      </c>
      <c r="D359" s="84"/>
      <c r="E359" s="79"/>
      <c r="F359" s="79"/>
      <c r="G359" s="84"/>
      <c r="H359" s="273" t="s">
        <v>450</v>
      </c>
      <c r="I359" s="331">
        <v>2</v>
      </c>
      <c r="J359" s="264" t="str">
        <f>INDEX($H$292:$H$300,I359+1,1)</f>
        <v>mob</v>
      </c>
      <c r="K359" s="273"/>
      <c r="L359" s="275">
        <v>0</v>
      </c>
      <c r="M359" s="330">
        <v>0</v>
      </c>
      <c r="N359" s="330">
        <v>1</v>
      </c>
      <c r="O359" s="273"/>
      <c r="P359" s="273"/>
      <c r="Q359" s="330">
        <v>1</v>
      </c>
      <c r="R359" s="330">
        <v>0</v>
      </c>
      <c r="S359" s="273"/>
      <c r="T359" s="277">
        <v>0</v>
      </c>
      <c r="U359" s="277">
        <v>0</v>
      </c>
      <c r="V359" s="277">
        <v>0</v>
      </c>
      <c r="W359" s="277">
        <v>0</v>
      </c>
      <c r="X359" s="277">
        <v>0</v>
      </c>
      <c r="Y359" s="277">
        <v>0</v>
      </c>
      <c r="Z359" s="277">
        <v>0</v>
      </c>
      <c r="AA359" s="277">
        <v>0</v>
      </c>
      <c r="AB359" s="277">
        <v>0</v>
      </c>
      <c r="AC359" s="277">
        <v>0</v>
      </c>
      <c r="AD359" s="277">
        <v>0</v>
      </c>
      <c r="AE359" s="277">
        <v>0</v>
      </c>
      <c r="AF359" s="277">
        <v>0</v>
      </c>
      <c r="AG359" s="278">
        <f>1/SUM($L359:$N359)</f>
        <v>1</v>
      </c>
      <c r="AH359" s="84"/>
      <c r="AI359" s="66"/>
      <c r="AJ359" s="54"/>
      <c r="AK359" s="54"/>
      <c r="AL359" s="54"/>
    </row>
    <row r="360" spans="1:38" ht="5.0999999999999996" hidden="1" customHeight="1" outlineLevel="2" x14ac:dyDescent="0.25">
      <c r="A360" s="54"/>
      <c r="B360" s="63"/>
      <c r="C360" s="99">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25">
      <c r="A361" s="54"/>
      <c r="B361" s="63"/>
      <c r="C361" s="99">
        <f t="shared" si="56"/>
        <v>4</v>
      </c>
      <c r="D361" s="84"/>
      <c r="E361" s="79"/>
      <c r="F361" s="79"/>
      <c r="G361" s="84"/>
      <c r="H361" s="265" t="s">
        <v>495</v>
      </c>
      <c r="I361" s="265"/>
      <c r="J361" s="266" t="str">
        <f>INDEX($H$292:$H$300,I361+1,1)</f>
        <v>head</v>
      </c>
      <c r="K361" s="265"/>
      <c r="L361" s="267">
        <v>2</v>
      </c>
      <c r="M361" s="268">
        <v>0</v>
      </c>
      <c r="N361" s="269">
        <v>0</v>
      </c>
      <c r="O361" s="265"/>
      <c r="P361" s="265"/>
      <c r="Q361" s="265"/>
      <c r="R361" s="265"/>
      <c r="S361" s="265"/>
      <c r="T361" s="270">
        <v>0</v>
      </c>
      <c r="U361" s="270">
        <v>0</v>
      </c>
      <c r="V361" s="270">
        <v>0</v>
      </c>
      <c r="W361" s="270">
        <v>0</v>
      </c>
      <c r="X361" s="270">
        <v>0</v>
      </c>
      <c r="Y361" s="270">
        <v>0</v>
      </c>
      <c r="Z361" s="270">
        <v>0</v>
      </c>
      <c r="AA361" s="270">
        <v>0</v>
      </c>
      <c r="AB361" s="270">
        <v>0</v>
      </c>
      <c r="AC361" s="270">
        <v>0</v>
      </c>
      <c r="AD361" s="270">
        <v>0</v>
      </c>
      <c r="AE361" s="270">
        <v>0</v>
      </c>
      <c r="AF361" s="270">
        <v>0</v>
      </c>
      <c r="AG361" s="271">
        <f>1/SUM($L361:$N361)</f>
        <v>0.5</v>
      </c>
      <c r="AH361" s="84"/>
      <c r="AI361" s="66"/>
      <c r="AJ361" s="54"/>
      <c r="AK361" s="54"/>
      <c r="AL361" s="54"/>
    </row>
    <row r="362" spans="1:38" hidden="1" outlineLevel="3" x14ac:dyDescent="0.25">
      <c r="A362" s="54"/>
      <c r="B362" s="63"/>
      <c r="C362" s="99">
        <f t="shared" si="56"/>
        <v>4</v>
      </c>
      <c r="D362" s="84"/>
      <c r="E362" s="79"/>
      <c r="F362" s="79"/>
      <c r="G362" s="84"/>
      <c r="H362" s="121" t="s">
        <v>496</v>
      </c>
      <c r="I362" s="121"/>
      <c r="J362" s="108" t="str">
        <f>INDEX($H$292:$H$300,I362+1,1)</f>
        <v>head</v>
      </c>
      <c r="K362" s="121"/>
      <c r="L362" s="261">
        <v>4</v>
      </c>
      <c r="M362" s="272">
        <v>0</v>
      </c>
      <c r="N362" s="260">
        <v>0</v>
      </c>
      <c r="O362" s="121"/>
      <c r="P362" s="121"/>
      <c r="Q362" s="121"/>
      <c r="R362" s="121"/>
      <c r="S362" s="121"/>
      <c r="T362" s="259">
        <v>0</v>
      </c>
      <c r="U362" s="259">
        <v>0</v>
      </c>
      <c r="V362" s="259">
        <v>0</v>
      </c>
      <c r="W362" s="259">
        <v>0</v>
      </c>
      <c r="X362" s="259">
        <v>0</v>
      </c>
      <c r="Y362" s="259">
        <v>0</v>
      </c>
      <c r="Z362" s="259">
        <v>0</v>
      </c>
      <c r="AA362" s="259">
        <v>0</v>
      </c>
      <c r="AB362" s="259">
        <v>0</v>
      </c>
      <c r="AC362" s="259">
        <v>0</v>
      </c>
      <c r="AD362" s="259">
        <v>0</v>
      </c>
      <c r="AE362" s="259">
        <v>0</v>
      </c>
      <c r="AF362" s="259">
        <v>0</v>
      </c>
      <c r="AG362" s="259">
        <v>0</v>
      </c>
      <c r="AH362" s="84"/>
      <c r="AI362" s="66"/>
      <c r="AJ362" s="54"/>
      <c r="AK362" s="54"/>
      <c r="AL362" s="54"/>
    </row>
    <row r="363" spans="1:38" hidden="1" outlineLevel="3" x14ac:dyDescent="0.25">
      <c r="A363" s="54"/>
      <c r="B363" s="63"/>
      <c r="C363" s="99">
        <f t="shared" si="56"/>
        <v>4</v>
      </c>
      <c r="D363" s="84"/>
      <c r="E363" s="79"/>
      <c r="F363" s="79"/>
      <c r="G363" s="84"/>
      <c r="H363" s="273" t="s">
        <v>497</v>
      </c>
      <c r="I363" s="273"/>
      <c r="J363" s="274" t="str">
        <f>INDEX($H$292:$H$300,I363+1,1)</f>
        <v>head</v>
      </c>
      <c r="K363" s="273"/>
      <c r="L363" s="275">
        <v>0</v>
      </c>
      <c r="M363" s="276">
        <v>0</v>
      </c>
      <c r="N363" s="262">
        <f>$N$359/(0.5*0.33)</f>
        <v>6.0606060606060606</v>
      </c>
      <c r="O363" s="273"/>
      <c r="P363" s="273"/>
      <c r="Q363" s="273"/>
      <c r="R363" s="273"/>
      <c r="S363" s="273"/>
      <c r="T363" s="277">
        <v>0</v>
      </c>
      <c r="U363" s="277">
        <v>0</v>
      </c>
      <c r="V363" s="277">
        <v>0</v>
      </c>
      <c r="W363" s="277">
        <v>0</v>
      </c>
      <c r="X363" s="277">
        <v>0</v>
      </c>
      <c r="Y363" s="277">
        <v>0</v>
      </c>
      <c r="Z363" s="277">
        <v>0</v>
      </c>
      <c r="AA363" s="277">
        <v>0</v>
      </c>
      <c r="AB363" s="277">
        <v>0</v>
      </c>
      <c r="AC363" s="277">
        <v>0</v>
      </c>
      <c r="AD363" s="277">
        <v>0</v>
      </c>
      <c r="AE363" s="277">
        <v>0</v>
      </c>
      <c r="AF363" s="277">
        <v>0</v>
      </c>
      <c r="AG363" s="278">
        <f>1/SUM($L363:$N363)</f>
        <v>0.16500000000000001</v>
      </c>
      <c r="AH363" s="84"/>
      <c r="AI363" s="66"/>
      <c r="AJ363" s="54"/>
      <c r="AK363" s="54"/>
      <c r="AL363" s="54"/>
    </row>
    <row r="364" spans="1:38" ht="5.0999999999999996" hidden="1" customHeight="1" outlineLevel="2" x14ac:dyDescent="0.25">
      <c r="A364" s="54"/>
      <c r="B364" s="63"/>
      <c r="C364" s="99">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hidden="1" customHeight="1" outlineLevel="2" x14ac:dyDescent="0.25">
      <c r="A365" s="54"/>
      <c r="B365" s="63"/>
      <c r="C365" s="99">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3"/>
      <c r="C366" s="112">
        <f>INT($C$279)+1.005</f>
        <v>2.0049999999999999</v>
      </c>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6" t="s">
        <v>213</v>
      </c>
      <c r="AJ366" s="54"/>
      <c r="AK366" s="54"/>
      <c r="AL366" s="54"/>
    </row>
    <row r="367" spans="1:38" ht="5.0999999999999996" customHeight="1" collapsed="1" x14ac:dyDescent="0.25">
      <c r="A367" s="54"/>
      <c r="B367" s="97"/>
      <c r="C367" s="114">
        <f>INT($C$279)+0.005</f>
        <v>1.0049999999999999</v>
      </c>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54"/>
      <c r="AK367" s="54"/>
      <c r="AL367" s="54"/>
    </row>
    <row r="368" spans="1:38" hidden="1" outlineLevel="2" x14ac:dyDescent="0.25">
      <c r="A368" s="54"/>
      <c r="B368" s="54"/>
      <c r="C368" s="99">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9">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100">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1">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9"/>
      <c r="Z371" s="279"/>
      <c r="AA371" s="279"/>
      <c r="AB371" s="279"/>
      <c r="AC371" s="279"/>
      <c r="AD371" s="279"/>
      <c r="AE371" s="279"/>
      <c r="AF371" s="279"/>
      <c r="AG371" s="279"/>
      <c r="AH371" s="61"/>
      <c r="AI371" s="62"/>
      <c r="AJ371" s="54"/>
      <c r="AK371" s="54"/>
      <c r="AL371" s="54"/>
    </row>
    <row r="372" spans="1:38" hidden="1" outlineLevel="4" x14ac:dyDescent="0.25">
      <c r="A372" s="54"/>
      <c r="B372" s="63"/>
      <c r="C372" s="99">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80"/>
      <c r="Z372" s="280"/>
      <c r="AA372" s="280"/>
      <c r="AB372" s="280"/>
      <c r="AC372" s="280"/>
      <c r="AD372" s="280"/>
      <c r="AE372" s="280"/>
      <c r="AF372" s="280"/>
      <c r="AG372" s="280"/>
      <c r="AH372" s="64"/>
      <c r="AI372" s="66"/>
      <c r="AJ372" s="54"/>
      <c r="AK372" s="54"/>
      <c r="AL372" s="54"/>
    </row>
    <row r="373" spans="1:38" ht="20.100000000000001" customHeight="1" x14ac:dyDescent="0.25">
      <c r="A373" s="54"/>
      <c r="B373" s="63"/>
      <c r="C373" s="99">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1"/>
      <c r="Z373" s="281"/>
      <c r="AA373" s="281"/>
      <c r="AB373" s="281"/>
      <c r="AC373" s="281"/>
      <c r="AD373" s="281"/>
      <c r="AE373" s="281"/>
      <c r="AF373" s="281"/>
      <c r="AG373" s="281"/>
      <c r="AH373" s="73"/>
      <c r="AI373" s="66"/>
      <c r="AJ373" s="54"/>
      <c r="AK373" s="54"/>
      <c r="AL373" s="54"/>
    </row>
    <row r="374" spans="1:38" ht="20.100000000000001" customHeight="1" outlineLevel="1" collapsed="1" x14ac:dyDescent="0.25">
      <c r="A374" s="54"/>
      <c r="B374" s="63"/>
      <c r="C374" s="99">
        <f>INT($C$373)+1.02</f>
        <v>2.02</v>
      </c>
      <c r="D374" s="67"/>
      <c r="E374" s="68" t="s">
        <v>193</v>
      </c>
      <c r="F374" s="74">
        <v>1</v>
      </c>
      <c r="G374" s="75"/>
      <c r="H374" s="76" t="s">
        <v>498</v>
      </c>
      <c r="I374" s="77"/>
      <c r="J374" s="77"/>
      <c r="K374" s="77"/>
      <c r="L374" s="77"/>
      <c r="M374" s="77"/>
      <c r="N374" s="77"/>
      <c r="O374" s="77"/>
      <c r="P374" s="77"/>
      <c r="Q374" s="77"/>
      <c r="R374" s="77"/>
      <c r="S374" s="77"/>
      <c r="T374" s="77"/>
      <c r="U374" s="77"/>
      <c r="V374" s="77"/>
      <c r="W374" s="77"/>
      <c r="X374" s="77"/>
      <c r="Y374" s="282"/>
      <c r="Z374" s="282"/>
      <c r="AA374" s="282"/>
      <c r="AB374" s="282"/>
      <c r="AC374" s="282"/>
      <c r="AD374" s="282"/>
      <c r="AE374" s="282"/>
      <c r="AF374" s="282"/>
      <c r="AG374" s="282"/>
      <c r="AH374" s="78"/>
      <c r="AI374" s="66"/>
      <c r="AJ374" s="54"/>
      <c r="AK374" s="54"/>
      <c r="AL374" s="54"/>
    </row>
    <row r="375" spans="1:38" ht="5.0999999999999996" hidden="1" customHeight="1" outlineLevel="2" x14ac:dyDescent="0.25">
      <c r="A375" s="54"/>
      <c r="B375" s="63"/>
      <c r="C375" s="99">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9">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9">
        <f>INT($C$373)+2</f>
        <v>3</v>
      </c>
      <c r="D377" s="64"/>
      <c r="E377" s="79"/>
      <c r="F377" s="79"/>
      <c r="G377" s="64"/>
      <c r="H377" s="81"/>
      <c r="I377" s="81"/>
      <c r="J377" s="283" t="s">
        <v>2398</v>
      </c>
      <c r="K377" s="283"/>
      <c r="L377" s="283"/>
      <c r="M377" s="81" t="s">
        <v>499</v>
      </c>
      <c r="N377" s="334"/>
      <c r="O377" s="335"/>
      <c r="P377" s="334"/>
      <c r="Q377" s="335"/>
      <c r="R377" s="334"/>
      <c r="S377" s="335"/>
      <c r="T377" s="338"/>
      <c r="U377" s="302"/>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9">
        <f>INT($C$373)+2</f>
        <v>3</v>
      </c>
      <c r="D378" s="64"/>
      <c r="E378" s="79"/>
      <c r="F378" s="79"/>
      <c r="G378" s="64"/>
      <c r="H378" s="81"/>
      <c r="I378" s="81"/>
      <c r="J378" s="284" t="s">
        <v>500</v>
      </c>
      <c r="K378" s="284" t="s">
        <v>501</v>
      </c>
      <c r="L378" s="284" t="s">
        <v>502</v>
      </c>
      <c r="M378" s="81" t="s">
        <v>503</v>
      </c>
      <c r="N378" s="336" t="s">
        <v>379</v>
      </c>
      <c r="O378" s="337"/>
      <c r="P378" s="336" t="s">
        <v>380</v>
      </c>
      <c r="Q378" s="337"/>
      <c r="R378" s="336" t="s">
        <v>504</v>
      </c>
      <c r="S378" s="337"/>
      <c r="T378" s="336" t="s">
        <v>381</v>
      </c>
      <c r="U378" s="337"/>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9">
        <f>INT($C$373)+2</f>
        <v>3</v>
      </c>
      <c r="D379" s="64"/>
      <c r="E379" s="79"/>
      <c r="F379" s="79"/>
      <c r="G379" s="64"/>
      <c r="H379" s="81" t="s">
        <v>2396</v>
      </c>
      <c r="I379" s="81"/>
      <c r="J379" s="81">
        <v>0</v>
      </c>
      <c r="K379" s="81">
        <v>1</v>
      </c>
      <c r="L379" s="81">
        <v>2</v>
      </c>
      <c r="M379" s="81" t="s">
        <v>505</v>
      </c>
      <c r="N379" s="338"/>
      <c r="O379" s="302"/>
      <c r="P379" s="338"/>
      <c r="Q379" s="302"/>
      <c r="R379" s="338"/>
      <c r="S379" s="302"/>
      <c r="T379" s="338"/>
      <c r="U379" s="302"/>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9">
        <f>INT($C$373)+2.01</f>
        <v>3.01</v>
      </c>
      <c r="D380" s="64"/>
      <c r="E380" s="64"/>
      <c r="F380" s="64"/>
      <c r="G380" s="64"/>
      <c r="H380" s="81"/>
      <c r="I380" s="81"/>
      <c r="J380" s="81"/>
      <c r="K380" s="81"/>
      <c r="L380" s="81"/>
      <c r="M380" s="81"/>
      <c r="N380" s="339"/>
      <c r="O380" s="340"/>
      <c r="P380" s="339"/>
      <c r="Q380" s="340"/>
      <c r="R380" s="339"/>
      <c r="S380" s="340"/>
      <c r="T380" s="339"/>
      <c r="U380" s="340"/>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9">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9">
        <f>INT(MAX($C$384:$C$403))+1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9">
        <f>INT($C$373)+1</f>
        <v>2</v>
      </c>
      <c r="D383" s="84"/>
      <c r="E383" s="79"/>
      <c r="F383" s="79"/>
      <c r="G383" s="84"/>
      <c r="H383" s="102" t="s">
        <v>506</v>
      </c>
      <c r="I383" s="103"/>
      <c r="J383" s="104"/>
      <c r="K383" s="104"/>
      <c r="L383" s="104"/>
      <c r="M383" s="104"/>
      <c r="N383" s="104"/>
      <c r="O383" s="104"/>
      <c r="P383" s="104"/>
      <c r="Q383" s="104"/>
      <c r="R383" s="104"/>
      <c r="S383" s="104"/>
      <c r="T383" s="104"/>
      <c r="U383" s="104"/>
      <c r="V383" s="104"/>
      <c r="W383" s="104"/>
      <c r="X383" s="104"/>
      <c r="Y383" s="104"/>
      <c r="Z383" s="104"/>
      <c r="AA383" s="104"/>
      <c r="AB383" s="104"/>
      <c r="AC383" s="105"/>
      <c r="AD383" s="105"/>
      <c r="AE383" s="105"/>
      <c r="AF383" s="105"/>
      <c r="AG383" s="105"/>
      <c r="AH383" s="84"/>
      <c r="AI383" s="66"/>
      <c r="AJ383" s="54"/>
      <c r="AK383" s="54"/>
      <c r="AL383" s="54"/>
    </row>
    <row r="384" spans="1:38" ht="5.0999999999999996" customHeight="1" outlineLevel="3" x14ac:dyDescent="0.25">
      <c r="A384" s="54"/>
      <c r="B384" s="63"/>
      <c r="C384" s="99">
        <f>INT($C$373)+3.005</f>
        <v>4.0049999999999999</v>
      </c>
      <c r="D384" s="84" t="s">
        <v>200</v>
      </c>
      <c r="E384" s="84"/>
      <c r="F384" s="84"/>
      <c r="G384" s="84"/>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84"/>
      <c r="AI384" s="66"/>
      <c r="AJ384" s="54"/>
      <c r="AK384" s="54"/>
      <c r="AL384" s="54"/>
    </row>
    <row r="385" spans="1:38" outlineLevel="2" x14ac:dyDescent="0.25">
      <c r="A385" s="54"/>
      <c r="B385" s="63"/>
      <c r="C385" s="99">
        <f>INT($C$373)+2</f>
        <v>3</v>
      </c>
      <c r="D385" s="84"/>
      <c r="E385" s="79"/>
      <c r="F385" s="79"/>
      <c r="G385" s="84"/>
      <c r="H385" s="87" t="s">
        <v>507</v>
      </c>
      <c r="I385" s="109" t="b">
        <v>1</v>
      </c>
      <c r="J385" s="87"/>
      <c r="K385" s="87"/>
      <c r="L385" s="87"/>
      <c r="M385" s="87"/>
      <c r="N385" s="285" t="s">
        <v>2397</v>
      </c>
      <c r="O385" s="107"/>
      <c r="P385" s="107"/>
      <c r="Q385" s="107"/>
      <c r="R385" s="107"/>
      <c r="S385" s="107"/>
      <c r="T385" s="107"/>
      <c r="U385" s="107"/>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9">
        <f>INT($C$373)+2</f>
        <v>3</v>
      </c>
      <c r="D386" s="84"/>
      <c r="E386" s="79"/>
      <c r="F386" s="79"/>
      <c r="G386" s="84"/>
      <c r="H386" s="87"/>
      <c r="I386" s="286" t="s">
        <v>195</v>
      </c>
      <c r="J386" s="285" t="s">
        <v>508</v>
      </c>
      <c r="K386" s="107"/>
      <c r="L386" s="107"/>
      <c r="M386" s="87"/>
      <c r="N386" s="108" t="s">
        <v>509</v>
      </c>
      <c r="O386" s="287" t="s">
        <v>510</v>
      </c>
      <c r="P386" s="108" t="s">
        <v>509</v>
      </c>
      <c r="Q386" s="287" t="s">
        <v>510</v>
      </c>
      <c r="R386" s="108" t="s">
        <v>509</v>
      </c>
      <c r="S386" s="287" t="s">
        <v>510</v>
      </c>
      <c r="T386" s="108" t="s">
        <v>509</v>
      </c>
      <c r="U386" s="287" t="s">
        <v>510</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9">
        <f>INT($C$373)+2</f>
        <v>3</v>
      </c>
      <c r="D387" s="84"/>
      <c r="E387" s="79"/>
      <c r="F387" s="79"/>
      <c r="G387" s="84"/>
      <c r="H387" s="346" t="s">
        <v>511</v>
      </c>
      <c r="I387" s="227">
        <v>0</v>
      </c>
      <c r="J387" s="91" t="b">
        <v>1</v>
      </c>
      <c r="K387" s="91" t="b">
        <v>1</v>
      </c>
      <c r="L387" s="91" t="b">
        <v>0</v>
      </c>
      <c r="M387" s="91">
        <v>1</v>
      </c>
      <c r="N387" s="111">
        <v>0</v>
      </c>
      <c r="O387" s="111">
        <v>0</v>
      </c>
      <c r="P387" s="111">
        <v>0</v>
      </c>
      <c r="Q387" s="111">
        <v>0</v>
      </c>
      <c r="R387" s="111">
        <v>0</v>
      </c>
      <c r="S387" s="111">
        <v>0</v>
      </c>
      <c r="T387" s="111">
        <v>0</v>
      </c>
      <c r="U387" s="111">
        <v>0</v>
      </c>
      <c r="V387" s="117"/>
      <c r="W387" s="117"/>
      <c r="X387" s="117"/>
      <c r="Y387" s="117"/>
      <c r="Z387" s="117"/>
      <c r="AA387" s="117"/>
      <c r="AB387" s="117"/>
      <c r="AC387" s="117"/>
      <c r="AD387" s="117"/>
      <c r="AE387" s="117"/>
      <c r="AF387" s="117"/>
      <c r="AG387" s="117"/>
      <c r="AH387" s="84"/>
      <c r="AI387" s="66"/>
      <c r="AJ387" s="54"/>
      <c r="AK387" s="54"/>
      <c r="AL387" s="54"/>
    </row>
    <row r="388" spans="1:38" outlineLevel="2" x14ac:dyDescent="0.25">
      <c r="A388" s="54"/>
      <c r="B388" s="63"/>
      <c r="C388" s="99">
        <f>INT($C$373)+2</f>
        <v>3</v>
      </c>
      <c r="D388" s="84"/>
      <c r="E388" s="79"/>
      <c r="F388" s="79"/>
      <c r="G388" s="84"/>
      <c r="H388" s="346" t="s">
        <v>512</v>
      </c>
      <c r="I388" s="108">
        <v>1</v>
      </c>
      <c r="J388" s="91" t="b">
        <v>1</v>
      </c>
      <c r="K388" s="91" t="b">
        <v>1</v>
      </c>
      <c r="L388" s="91" t="b">
        <v>0</v>
      </c>
      <c r="M388" s="91">
        <v>1</v>
      </c>
      <c r="N388" s="111">
        <v>0</v>
      </c>
      <c r="O388" s="111">
        <v>0</v>
      </c>
      <c r="P388" s="111">
        <v>0</v>
      </c>
      <c r="Q388" s="111">
        <v>0</v>
      </c>
      <c r="R388" s="111">
        <v>0</v>
      </c>
      <c r="S388" s="111">
        <v>0</v>
      </c>
      <c r="T388" s="111">
        <v>0</v>
      </c>
      <c r="U388" s="111">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9">
        <f t="shared" ref="C389:C402" si="57">INT($C$373)+3</f>
        <v>4</v>
      </c>
      <c r="D389" s="84"/>
      <c r="E389" s="79"/>
      <c r="F389" s="79"/>
      <c r="G389" s="84"/>
      <c r="H389" s="346" t="s">
        <v>513</v>
      </c>
      <c r="I389" s="227">
        <v>2</v>
      </c>
      <c r="J389" s="91" t="b">
        <v>1</v>
      </c>
      <c r="K389" s="91" t="b">
        <v>1</v>
      </c>
      <c r="L389" s="91" t="b">
        <v>0</v>
      </c>
      <c r="M389" s="91">
        <v>1</v>
      </c>
      <c r="N389" s="111">
        <v>0</v>
      </c>
      <c r="O389" s="111">
        <v>0</v>
      </c>
      <c r="P389" s="111">
        <v>0</v>
      </c>
      <c r="Q389" s="111">
        <v>0</v>
      </c>
      <c r="R389" s="111">
        <v>0</v>
      </c>
      <c r="S389" s="111">
        <v>0</v>
      </c>
      <c r="T389" s="111">
        <v>0</v>
      </c>
      <c r="U389" s="111">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9">
        <f t="shared" si="57"/>
        <v>4</v>
      </c>
      <c r="D390" s="84"/>
      <c r="E390" s="79"/>
      <c r="F390" s="79"/>
      <c r="G390" s="84"/>
      <c r="H390" s="346" t="s">
        <v>514</v>
      </c>
      <c r="I390" s="108">
        <v>3</v>
      </c>
      <c r="J390" s="91" t="b">
        <v>1</v>
      </c>
      <c r="K390" s="91" t="b">
        <v>1</v>
      </c>
      <c r="L390" s="91" t="b">
        <v>0</v>
      </c>
      <c r="M390" s="91">
        <v>1</v>
      </c>
      <c r="N390" s="111">
        <v>0</v>
      </c>
      <c r="O390" s="111">
        <v>0</v>
      </c>
      <c r="P390" s="111">
        <v>0</v>
      </c>
      <c r="Q390" s="111">
        <v>0</v>
      </c>
      <c r="R390" s="111">
        <v>0</v>
      </c>
      <c r="S390" s="111">
        <v>0</v>
      </c>
      <c r="T390" s="111">
        <v>0</v>
      </c>
      <c r="U390" s="111">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9">
        <f t="shared" si="57"/>
        <v>4</v>
      </c>
      <c r="D391" s="84"/>
      <c r="E391" s="79"/>
      <c r="F391" s="79"/>
      <c r="G391" s="84"/>
      <c r="H391" s="346" t="s">
        <v>515</v>
      </c>
      <c r="I391" s="227">
        <v>4</v>
      </c>
      <c r="J391" s="91" t="b">
        <v>1</v>
      </c>
      <c r="K391" s="91" t="b">
        <v>0</v>
      </c>
      <c r="L391" s="91" t="b">
        <v>0</v>
      </c>
      <c r="M391" s="91">
        <v>1</v>
      </c>
      <c r="N391" s="111">
        <v>0</v>
      </c>
      <c r="O391" s="111">
        <v>0</v>
      </c>
      <c r="P391" s="111">
        <v>0</v>
      </c>
      <c r="Q391" s="111">
        <v>0</v>
      </c>
      <c r="R391" s="111">
        <v>0</v>
      </c>
      <c r="S391" s="111">
        <v>0</v>
      </c>
      <c r="T391" s="111">
        <v>0</v>
      </c>
      <c r="U391" s="111">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9">
        <f t="shared" si="57"/>
        <v>4</v>
      </c>
      <c r="D392" s="84"/>
      <c r="E392" s="79"/>
      <c r="F392" s="79"/>
      <c r="G392" s="84"/>
      <c r="H392" s="346" t="s">
        <v>516</v>
      </c>
      <c r="I392" s="108">
        <v>5</v>
      </c>
      <c r="J392" s="91" t="b">
        <v>1</v>
      </c>
      <c r="K392" s="91" t="b">
        <v>1</v>
      </c>
      <c r="L392" s="91" t="b">
        <v>0</v>
      </c>
      <c r="M392" s="91">
        <v>1</v>
      </c>
      <c r="N392" s="111">
        <v>0</v>
      </c>
      <c r="O392" s="111">
        <v>0</v>
      </c>
      <c r="P392" s="111">
        <v>0</v>
      </c>
      <c r="Q392" s="111">
        <v>0</v>
      </c>
      <c r="R392" s="111">
        <v>0</v>
      </c>
      <c r="S392" s="111">
        <v>0</v>
      </c>
      <c r="T392" s="111">
        <v>0</v>
      </c>
      <c r="U392" s="111">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9">
        <f t="shared" si="57"/>
        <v>4</v>
      </c>
      <c r="D393" s="84"/>
      <c r="E393" s="79"/>
      <c r="F393" s="79"/>
      <c r="G393" s="84"/>
      <c r="H393" s="346" t="s">
        <v>517</v>
      </c>
      <c r="I393" s="227">
        <v>6</v>
      </c>
      <c r="J393" s="91" t="b">
        <v>1</v>
      </c>
      <c r="K393" s="91" t="b">
        <v>0</v>
      </c>
      <c r="L393" s="91" t="b">
        <v>0</v>
      </c>
      <c r="M393" s="91">
        <v>1</v>
      </c>
      <c r="N393" s="111">
        <v>0</v>
      </c>
      <c r="O393" s="111">
        <v>0</v>
      </c>
      <c r="P393" s="111">
        <v>0</v>
      </c>
      <c r="Q393" s="111">
        <v>0</v>
      </c>
      <c r="R393" s="111">
        <v>0</v>
      </c>
      <c r="S393" s="111">
        <v>0</v>
      </c>
      <c r="T393" s="111">
        <v>0</v>
      </c>
      <c r="U393" s="111">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9">
        <f t="shared" si="57"/>
        <v>4</v>
      </c>
      <c r="D394" s="84"/>
      <c r="E394" s="79"/>
      <c r="F394" s="79"/>
      <c r="G394" s="84"/>
      <c r="H394" s="346" t="s">
        <v>518</v>
      </c>
      <c r="I394" s="108">
        <v>7</v>
      </c>
      <c r="J394" s="91" t="b">
        <v>1</v>
      </c>
      <c r="K394" s="91" t="b">
        <v>0</v>
      </c>
      <c r="L394" s="91" t="b">
        <v>1</v>
      </c>
      <c r="M394" s="91">
        <v>1</v>
      </c>
      <c r="N394" s="111">
        <v>0</v>
      </c>
      <c r="O394" s="111">
        <v>0</v>
      </c>
      <c r="P394" s="111">
        <v>0</v>
      </c>
      <c r="Q394" s="111">
        <v>0</v>
      </c>
      <c r="R394" s="111">
        <v>0</v>
      </c>
      <c r="S394" s="111">
        <v>0</v>
      </c>
      <c r="T394" s="111">
        <v>0</v>
      </c>
      <c r="U394" s="111">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9">
        <f t="shared" si="57"/>
        <v>4</v>
      </c>
      <c r="D395" s="84"/>
      <c r="E395" s="79"/>
      <c r="F395" s="79"/>
      <c r="G395" s="84"/>
      <c r="H395" s="346" t="s">
        <v>519</v>
      </c>
      <c r="I395" s="227">
        <v>8</v>
      </c>
      <c r="J395" s="91" t="b">
        <v>1</v>
      </c>
      <c r="K395" s="91" t="b">
        <v>0</v>
      </c>
      <c r="L395" s="91" t="b">
        <v>0</v>
      </c>
      <c r="M395" s="91">
        <v>2</v>
      </c>
      <c r="N395" s="111">
        <v>0</v>
      </c>
      <c r="O395" s="111">
        <v>0</v>
      </c>
      <c r="P395" s="111">
        <v>0</v>
      </c>
      <c r="Q395" s="111">
        <v>0</v>
      </c>
      <c r="R395" s="111">
        <v>0</v>
      </c>
      <c r="S395" s="111">
        <v>0</v>
      </c>
      <c r="T395" s="111">
        <v>0</v>
      </c>
      <c r="U395" s="111">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9">
        <f t="shared" si="57"/>
        <v>4</v>
      </c>
      <c r="D396" s="84"/>
      <c r="E396" s="79"/>
      <c r="F396" s="79"/>
      <c r="G396" s="84"/>
      <c r="H396" s="346" t="s">
        <v>520</v>
      </c>
      <c r="I396" s="108">
        <v>9</v>
      </c>
      <c r="J396" s="91" t="b">
        <v>1</v>
      </c>
      <c r="K396" s="91" t="b">
        <v>0</v>
      </c>
      <c r="L396" s="91" t="b">
        <v>0</v>
      </c>
      <c r="M396" s="91">
        <v>2</v>
      </c>
      <c r="N396" s="111">
        <v>0</v>
      </c>
      <c r="O396" s="111">
        <v>0</v>
      </c>
      <c r="P396" s="111">
        <v>0</v>
      </c>
      <c r="Q396" s="111">
        <v>0</v>
      </c>
      <c r="R396" s="111">
        <v>0</v>
      </c>
      <c r="S396" s="111">
        <v>0</v>
      </c>
      <c r="T396" s="111">
        <v>0</v>
      </c>
      <c r="U396" s="111">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9">
        <f t="shared" si="57"/>
        <v>4</v>
      </c>
      <c r="D397" s="84"/>
      <c r="E397" s="79"/>
      <c r="F397" s="79"/>
      <c r="G397" s="84"/>
      <c r="H397" s="346" t="s">
        <v>521</v>
      </c>
      <c r="I397" s="227">
        <v>10</v>
      </c>
      <c r="J397" s="91" t="b">
        <v>1</v>
      </c>
      <c r="K397" s="91" t="b">
        <v>1</v>
      </c>
      <c r="L397" s="91" t="b">
        <v>0</v>
      </c>
      <c r="M397" s="91">
        <v>1</v>
      </c>
      <c r="N397" s="111">
        <v>0</v>
      </c>
      <c r="O397" s="111">
        <v>0</v>
      </c>
      <c r="P397" s="111">
        <v>0</v>
      </c>
      <c r="Q397" s="111">
        <v>0</v>
      </c>
      <c r="R397" s="111">
        <v>0</v>
      </c>
      <c r="S397" s="111">
        <v>0</v>
      </c>
      <c r="T397" s="111">
        <v>0</v>
      </c>
      <c r="U397" s="111">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9">
        <f t="shared" si="57"/>
        <v>4</v>
      </c>
      <c r="D398" s="84"/>
      <c r="E398" s="79"/>
      <c r="F398" s="79"/>
      <c r="G398" s="84"/>
      <c r="H398" s="346" t="s">
        <v>522</v>
      </c>
      <c r="I398" s="108">
        <v>11</v>
      </c>
      <c r="J398" s="91" t="b">
        <v>1</v>
      </c>
      <c r="K398" s="91" t="b">
        <v>1</v>
      </c>
      <c r="L398" s="91" t="b">
        <v>0</v>
      </c>
      <c r="M398" s="91">
        <v>1</v>
      </c>
      <c r="N398" s="111">
        <v>0</v>
      </c>
      <c r="O398" s="111">
        <v>0</v>
      </c>
      <c r="P398" s="111">
        <v>0</v>
      </c>
      <c r="Q398" s="111">
        <v>0</v>
      </c>
      <c r="R398" s="111">
        <v>0</v>
      </c>
      <c r="S398" s="111">
        <v>0</v>
      </c>
      <c r="T398" s="111">
        <v>0</v>
      </c>
      <c r="U398" s="111">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9">
        <f t="shared" si="57"/>
        <v>4</v>
      </c>
      <c r="D399" s="84"/>
      <c r="E399" s="79"/>
      <c r="F399" s="79"/>
      <c r="G399" s="84"/>
      <c r="H399" s="346" t="s">
        <v>523</v>
      </c>
      <c r="I399" s="227">
        <v>12</v>
      </c>
      <c r="J399" s="91" t="b">
        <v>1</v>
      </c>
      <c r="K399" s="91" t="b">
        <v>0</v>
      </c>
      <c r="L399" s="91" t="b">
        <v>1</v>
      </c>
      <c r="M399" s="91">
        <v>1</v>
      </c>
      <c r="N399" s="111">
        <v>0</v>
      </c>
      <c r="O399" s="111">
        <v>0</v>
      </c>
      <c r="P399" s="111">
        <v>0</v>
      </c>
      <c r="Q399" s="111">
        <v>0</v>
      </c>
      <c r="R399" s="111">
        <v>0</v>
      </c>
      <c r="S399" s="111">
        <v>0</v>
      </c>
      <c r="T399" s="111">
        <v>0</v>
      </c>
      <c r="U399" s="111">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9">
        <f t="shared" si="57"/>
        <v>4</v>
      </c>
      <c r="D400" s="84"/>
      <c r="E400" s="79"/>
      <c r="F400" s="79"/>
      <c r="G400" s="84"/>
      <c r="H400" s="346" t="s">
        <v>2400</v>
      </c>
      <c r="I400" s="227">
        <v>13</v>
      </c>
      <c r="J400" s="91" t="b">
        <v>0</v>
      </c>
      <c r="K400" s="91" t="b">
        <v>1</v>
      </c>
      <c r="L400" s="91" t="b">
        <v>0</v>
      </c>
      <c r="M400" s="91">
        <v>1</v>
      </c>
      <c r="N400" s="111">
        <v>0</v>
      </c>
      <c r="O400" s="111">
        <v>0</v>
      </c>
      <c r="P400" s="111">
        <v>1</v>
      </c>
      <c r="Q400" s="111">
        <v>1</v>
      </c>
      <c r="R400" s="111">
        <v>0</v>
      </c>
      <c r="S400" s="111">
        <v>0</v>
      </c>
      <c r="T400" s="111">
        <v>0</v>
      </c>
      <c r="U400" s="111">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9">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9">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9">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t="s">
        <v>204</v>
      </c>
      <c r="AI403" s="66"/>
      <c r="AJ403" s="54"/>
      <c r="AK403" s="54"/>
      <c r="AL403" s="54"/>
    </row>
    <row r="404" spans="1:38" ht="5.0999999999999996" customHeight="1" outlineLevel="2" x14ac:dyDescent="0.25">
      <c r="A404" s="54"/>
      <c r="B404" s="63"/>
      <c r="C404" s="99">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3"/>
      <c r="C405" s="112">
        <f>INT($C$373)+1.005</f>
        <v>2.0049999999999999</v>
      </c>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6" t="s">
        <v>213</v>
      </c>
      <c r="AJ405" s="54"/>
      <c r="AK405" s="54"/>
      <c r="AL405" s="54"/>
    </row>
    <row r="406" spans="1:38" ht="5.0999999999999996" customHeight="1" collapsed="1" x14ac:dyDescent="0.25">
      <c r="A406" s="54"/>
      <c r="B406" s="97"/>
      <c r="C406" s="114">
        <f>INT($C$373)+0.005</f>
        <v>1.0049999999999999</v>
      </c>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54"/>
      <c r="AK406" s="54"/>
      <c r="AL406" s="54"/>
    </row>
    <row r="407" spans="1:38" hidden="1" outlineLevel="2" x14ac:dyDescent="0.25">
      <c r="A407" s="54"/>
      <c r="B407" s="54"/>
      <c r="C407" s="99">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x14ac:dyDescent="0.25">
      <c r="A408" s="54"/>
      <c r="B408" s="54"/>
      <c r="C408" s="55"/>
      <c r="D408" s="54"/>
      <c r="E408" s="54"/>
      <c r="F408" s="54"/>
      <c r="G408" s="54"/>
      <c r="H408" s="54"/>
      <c r="I408" s="116"/>
      <c r="J408" s="116"/>
      <c r="K408" s="116"/>
      <c r="L408" s="116"/>
      <c r="M408" s="116"/>
      <c r="N408" s="116"/>
      <c r="O408" s="116"/>
      <c r="P408" s="116"/>
      <c r="Q408" s="288"/>
      <c r="R408" s="288"/>
      <c r="S408" s="54"/>
      <c r="T408" s="54"/>
      <c r="U408" s="54"/>
      <c r="V408" s="54"/>
      <c r="W408" s="54"/>
      <c r="X408" s="54"/>
      <c r="Y408" s="54"/>
      <c r="Z408" s="54"/>
      <c r="AA408" s="54"/>
      <c r="AB408" s="54"/>
      <c r="AC408" s="54"/>
      <c r="AD408" s="54"/>
      <c r="AE408" s="54"/>
      <c r="AF408" s="54"/>
      <c r="AG408" s="54"/>
      <c r="AH408" s="54"/>
      <c r="AI408" s="54"/>
      <c r="AJ408" s="54"/>
      <c r="AK408" s="54"/>
      <c r="AL408" s="54"/>
    </row>
    <row r="409" spans="1:38" x14ac:dyDescent="0.25">
      <c r="A409" s="54"/>
      <c r="B409" s="54"/>
      <c r="C409" s="55"/>
      <c r="D409" s="54"/>
      <c r="E409" s="54"/>
      <c r="F409" s="54"/>
      <c r="G409" s="54"/>
      <c r="H409" s="54"/>
      <c r="I409" s="116"/>
      <c r="J409" s="116"/>
      <c r="K409" s="116"/>
      <c r="L409" s="116"/>
      <c r="M409" s="116"/>
      <c r="N409" s="116"/>
      <c r="O409" s="116"/>
      <c r="P409" s="116"/>
      <c r="Q409" s="288"/>
      <c r="R409" s="288"/>
      <c r="S409" s="54"/>
      <c r="T409" s="54"/>
      <c r="U409" s="54"/>
      <c r="V409" s="54"/>
      <c r="W409" s="54"/>
      <c r="X409" s="54"/>
      <c r="Y409" s="54"/>
      <c r="Z409" s="54"/>
      <c r="AA409" s="54"/>
      <c r="AB409" s="54"/>
      <c r="AC409" s="54"/>
      <c r="AD409" s="54"/>
      <c r="AE409" s="54"/>
      <c r="AF409" s="54"/>
      <c r="AG409" s="54"/>
      <c r="AH409" s="54"/>
      <c r="AI409" s="54"/>
      <c r="AJ409" s="54"/>
      <c r="AK409" s="54"/>
      <c r="AL409" s="54"/>
    </row>
    <row r="410" spans="1:38" x14ac:dyDescent="0.25">
      <c r="A410" s="54"/>
      <c r="B410" s="54"/>
      <c r="C410" s="55"/>
      <c r="D410" s="54"/>
      <c r="E410" s="54"/>
      <c r="F410" s="54"/>
      <c r="G410" s="54"/>
      <c r="H410" s="54"/>
      <c r="I410" s="116"/>
      <c r="J410" s="116"/>
      <c r="K410" s="116"/>
      <c r="L410" s="116"/>
      <c r="M410" s="116"/>
      <c r="N410" s="116"/>
      <c r="O410" s="116"/>
      <c r="P410" s="116"/>
      <c r="Q410" s="288"/>
      <c r="R410" s="288"/>
      <c r="S410" s="54"/>
      <c r="T410" s="54"/>
      <c r="U410" s="54"/>
      <c r="V410" s="54"/>
      <c r="W410" s="54"/>
      <c r="X410" s="54"/>
      <c r="Y410" s="54"/>
      <c r="Z410" s="54"/>
      <c r="AA410" s="54"/>
      <c r="AB410" s="54"/>
      <c r="AC410" s="54"/>
      <c r="AD410" s="54"/>
      <c r="AE410" s="54"/>
      <c r="AF410" s="54"/>
      <c r="AG410" s="54"/>
      <c r="AH410" s="54"/>
      <c r="AI410" s="54"/>
      <c r="AJ410" s="54"/>
      <c r="AK410" s="54"/>
      <c r="AL410" s="54"/>
    </row>
    <row r="411" spans="1:38" x14ac:dyDescent="0.25">
      <c r="A411" s="54"/>
      <c r="B411" s="54"/>
      <c r="C411" s="55"/>
      <c r="D411" s="54"/>
      <c r="E411" s="54"/>
      <c r="F411" s="54"/>
      <c r="G411" s="54"/>
      <c r="H411" s="54"/>
      <c r="I411" s="116"/>
      <c r="J411" s="116"/>
      <c r="K411" s="116"/>
      <c r="L411" s="116"/>
      <c r="M411" s="116"/>
      <c r="N411" s="116"/>
      <c r="O411" s="116"/>
      <c r="P411" s="116"/>
      <c r="Q411" s="288"/>
      <c r="R411" s="288"/>
      <c r="S411" s="54"/>
      <c r="T411" s="54"/>
      <c r="U411" s="54"/>
      <c r="V411" s="54"/>
      <c r="W411" s="54"/>
      <c r="X411" s="54"/>
      <c r="Y411" s="54"/>
      <c r="Z411" s="54"/>
      <c r="AA411" s="54"/>
      <c r="AB411" s="54"/>
      <c r="AC411" s="54"/>
      <c r="AD411" s="54"/>
      <c r="AE411" s="54"/>
      <c r="AF411" s="54"/>
      <c r="AG411" s="54"/>
      <c r="AH411" s="54"/>
      <c r="AI411" s="54"/>
      <c r="AJ411" s="54"/>
      <c r="AK411" s="54"/>
      <c r="AL411" s="54"/>
    </row>
    <row r="412" spans="1:38" x14ac:dyDescent="0.25">
      <c r="A412" s="54"/>
      <c r="B412" s="54"/>
      <c r="C412" s="55"/>
      <c r="D412" s="54"/>
      <c r="E412" s="54"/>
      <c r="F412" s="54"/>
      <c r="G412" s="54"/>
      <c r="H412" s="54"/>
      <c r="I412" s="116"/>
      <c r="J412" s="116"/>
      <c r="K412" s="116"/>
      <c r="L412" s="116"/>
      <c r="M412" s="116"/>
      <c r="N412" s="116"/>
      <c r="O412" s="116"/>
      <c r="P412" s="116"/>
      <c r="Q412" s="288"/>
      <c r="R412" s="288"/>
      <c r="S412" s="54"/>
      <c r="T412" s="54"/>
      <c r="U412" s="54"/>
      <c r="V412" s="54"/>
      <c r="W412" s="54"/>
      <c r="X412" s="54"/>
      <c r="Y412" s="54"/>
      <c r="Z412" s="54"/>
      <c r="AA412" s="54"/>
      <c r="AB412" s="54"/>
      <c r="AC412" s="54"/>
      <c r="AD412" s="54"/>
      <c r="AE412" s="54"/>
      <c r="AF412" s="54"/>
      <c r="AG412" s="54"/>
      <c r="AH412" s="54"/>
      <c r="AI412" s="54"/>
      <c r="AJ412" s="54"/>
      <c r="AK412" s="54"/>
      <c r="AL412" s="54"/>
    </row>
    <row r="413" spans="1:38" x14ac:dyDescent="0.25">
      <c r="A413" s="54"/>
      <c r="B413" s="54"/>
      <c r="C413" s="55"/>
      <c r="D413" s="54"/>
      <c r="E413" s="54"/>
      <c r="F413" s="54"/>
      <c r="G413" s="54"/>
      <c r="H413" s="54"/>
      <c r="I413" s="116"/>
      <c r="J413" s="116"/>
      <c r="K413" s="116"/>
      <c r="L413" s="116"/>
      <c r="M413" s="116"/>
      <c r="N413" s="116"/>
      <c r="O413" s="116"/>
      <c r="P413" s="116"/>
      <c r="Q413" s="288"/>
      <c r="R413" s="288"/>
      <c r="S413" s="54"/>
      <c r="T413" s="54"/>
      <c r="U413" s="54"/>
      <c r="V413" s="54"/>
      <c r="W413" s="54"/>
      <c r="X413" s="54"/>
      <c r="Y413" s="54"/>
      <c r="Z413" s="54"/>
      <c r="AA413" s="54"/>
      <c r="AB413" s="54"/>
      <c r="AC413" s="54"/>
      <c r="AD413" s="54"/>
      <c r="AE413" s="54"/>
      <c r="AF413" s="54"/>
      <c r="AG413" s="54"/>
      <c r="AH413" s="54"/>
      <c r="AI413" s="54"/>
      <c r="AJ413" s="54"/>
      <c r="AK413" s="54"/>
      <c r="AL413" s="54"/>
    </row>
    <row r="414" spans="1:38" x14ac:dyDescent="0.25">
      <c r="C414" s="289" t="s">
        <v>524</v>
      </c>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outlinePr summaryBelow="0" summaryRight="0"/>
  </sheetPr>
  <dimension ref="A1:AL1176"/>
  <sheetViews>
    <sheetView topLeftCell="A8" zoomScale="80" zoomScaleNormal="80" workbookViewId="0">
      <pane xSplit="10" ySplit="46" topLeftCell="R1011" activePane="bottomRight" state="frozen"/>
      <selection activeCell="J51" sqref="J51"/>
      <selection pane="topRight" activeCell="J51" sqref="J51"/>
      <selection pane="bottomLeft" activeCell="J51" sqref="J51"/>
      <selection pane="bottomRight" activeCell="U1067" sqref="U106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525</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90"/>
      <c r="R13" s="290"/>
      <c r="S13" s="290"/>
      <c r="T13" s="290"/>
      <c r="U13" s="290"/>
      <c r="V13" s="290"/>
      <c r="W13" s="290"/>
      <c r="X13" s="290"/>
      <c r="Y13" s="290"/>
      <c r="Z13" s="290"/>
      <c r="AA13" s="290"/>
      <c r="AB13" s="290"/>
      <c r="AC13" s="290"/>
      <c r="AD13" s="290"/>
      <c r="AE13" s="290"/>
      <c r="AF13" s="290"/>
      <c r="AG13" s="290"/>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91"/>
      <c r="R16" s="291"/>
      <c r="S16" s="291"/>
      <c r="T16" s="291"/>
      <c r="U16" s="291"/>
      <c r="V16" s="291"/>
      <c r="W16" s="291"/>
      <c r="X16" s="291"/>
      <c r="Y16" s="291"/>
      <c r="Z16" s="291"/>
      <c r="AA16" s="291"/>
      <c r="AB16" s="291"/>
      <c r="AC16" s="291"/>
      <c r="AD16" s="291"/>
      <c r="AE16" s="291"/>
      <c r="AF16" s="291"/>
      <c r="AG16" s="291"/>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91">
        <v>3</v>
      </c>
      <c r="J18" s="373" t="s">
        <v>526</v>
      </c>
      <c r="K18" s="374"/>
      <c r="L18" s="374"/>
      <c r="M18" s="374"/>
      <c r="N18" s="374"/>
      <c r="O18" s="374"/>
      <c r="P18" s="374"/>
      <c r="Q18" s="374"/>
      <c r="R18" s="375"/>
      <c r="S18" s="87"/>
      <c r="T18" s="87"/>
      <c r="U18" s="87" t="s">
        <v>527</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25">
      <c r="A21" s="54"/>
      <c r="B21" s="63"/>
      <c r="C21" s="56">
        <f>INT($C$6)+1.045</f>
        <v>2.0449999999999999</v>
      </c>
      <c r="D21" s="84"/>
      <c r="E21" s="79"/>
      <c r="F21" s="79"/>
      <c r="G21" s="84"/>
      <c r="H21" s="87" t="s">
        <v>203</v>
      </c>
      <c r="I21" s="333">
        <v>44217</v>
      </c>
      <c r="J21" s="367" t="s">
        <v>2422</v>
      </c>
      <c r="K21" s="368"/>
      <c r="L21" s="368"/>
      <c r="M21" s="368"/>
      <c r="N21" s="368"/>
      <c r="O21" s="368"/>
      <c r="P21" s="368"/>
      <c r="Q21" s="368"/>
      <c r="R21" s="376"/>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90" t="s">
        <v>206</v>
      </c>
      <c r="J26" s="90" t="s">
        <v>206</v>
      </c>
      <c r="K26" s="91">
        <v>15</v>
      </c>
      <c r="L26" s="90" t="s">
        <v>207</v>
      </c>
      <c r="M26" s="91">
        <v>8.43</v>
      </c>
      <c r="N26" s="87" t="s">
        <v>208</v>
      </c>
      <c r="O26" s="87"/>
      <c r="P26" s="92">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1"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1"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1"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1"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2"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56">
        <f>INT($C$40)+1.02</f>
        <v>2.02</v>
      </c>
      <c r="D41" s="67"/>
      <c r="E41" s="68" t="s">
        <v>193</v>
      </c>
      <c r="F41" s="74">
        <v>1</v>
      </c>
      <c r="G41" s="75"/>
      <c r="H41" s="293" t="s">
        <v>292</v>
      </c>
      <c r="I41" s="77"/>
      <c r="J41" s="77"/>
      <c r="K41" s="77"/>
      <c r="L41" s="77"/>
      <c r="M41" s="77"/>
      <c r="N41" s="77"/>
      <c r="O41" s="77"/>
      <c r="P41" s="77"/>
      <c r="Q41" s="77"/>
      <c r="R41" s="77"/>
      <c r="S41" s="77"/>
      <c r="T41" s="294"/>
      <c r="U41" s="294"/>
      <c r="V41" s="294"/>
      <c r="W41" s="294"/>
      <c r="X41" s="294"/>
      <c r="Y41" s="294"/>
      <c r="Z41" s="294"/>
      <c r="AA41" s="294"/>
      <c r="AB41" s="294"/>
      <c r="AC41" s="294"/>
      <c r="AD41" s="294"/>
      <c r="AE41" s="294"/>
      <c r="AF41" s="294"/>
      <c r="AG41" s="294"/>
      <c r="AH41" s="78"/>
      <c r="AI41" s="66"/>
      <c r="AJ41" s="54"/>
      <c r="AK41" s="54"/>
      <c r="AL41" s="54"/>
    </row>
    <row r="42" spans="1:38" ht="5.0999999999999996"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56">
        <f>INT($C$40)+2</f>
        <v>3</v>
      </c>
      <c r="D43" s="64"/>
      <c r="E43" s="79"/>
      <c r="F43" s="79"/>
      <c r="G43" s="64"/>
      <c r="H43" s="80"/>
      <c r="I43" s="80"/>
      <c r="J43" s="80"/>
      <c r="K43" s="295" t="s">
        <v>528</v>
      </c>
      <c r="L43" s="295"/>
      <c r="M43" s="295"/>
      <c r="N43" s="295"/>
      <c r="O43" s="295"/>
      <c r="P43" s="295"/>
      <c r="Q43" s="80"/>
      <c r="R43" s="80"/>
      <c r="S43" s="80"/>
      <c r="T43" s="80"/>
      <c r="U43" s="296">
        <v>0</v>
      </c>
      <c r="V43" s="296">
        <v>1</v>
      </c>
      <c r="W43" s="296">
        <v>2</v>
      </c>
      <c r="X43" s="296">
        <v>3</v>
      </c>
      <c r="Y43" s="296">
        <v>4</v>
      </c>
      <c r="Z43" s="296">
        <v>5</v>
      </c>
      <c r="AA43" s="296">
        <v>6</v>
      </c>
      <c r="AB43" s="296">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7" t="s">
        <v>529</v>
      </c>
      <c r="L44" s="297"/>
      <c r="M44" s="297"/>
      <c r="N44" s="297"/>
      <c r="O44" s="297"/>
      <c r="P44" s="297"/>
      <c r="Q44" s="81"/>
      <c r="R44" s="81"/>
      <c r="S44" s="81"/>
      <c r="T44" s="81"/>
      <c r="U44" s="298" t="s">
        <v>530</v>
      </c>
      <c r="V44" s="297"/>
      <c r="W44" s="297"/>
      <c r="X44" s="297"/>
      <c r="Y44" s="297"/>
      <c r="Z44" s="297"/>
      <c r="AA44" s="297"/>
      <c r="AB44" s="297"/>
      <c r="AC44" s="297"/>
      <c r="AD44" s="299"/>
      <c r="AE44" s="81"/>
      <c r="AF44" s="298" t="s">
        <v>531</v>
      </c>
      <c r="AG44" s="300"/>
      <c r="AH44" s="64"/>
      <c r="AI44" s="66"/>
      <c r="AJ44" s="54"/>
      <c r="AK44" s="54"/>
      <c r="AL44" s="54"/>
    </row>
    <row r="45" spans="1:38" outlineLevel="1" x14ac:dyDescent="0.25">
      <c r="A45" s="54"/>
      <c r="B45" s="63"/>
      <c r="C45" s="56">
        <f>INT($C$40)+2</f>
        <v>3</v>
      </c>
      <c r="D45" s="64"/>
      <c r="E45" s="79"/>
      <c r="F45" s="79"/>
      <c r="G45" s="64"/>
      <c r="H45" s="81"/>
      <c r="I45" s="81"/>
      <c r="J45" s="81"/>
      <c r="K45" s="297" t="s">
        <v>532</v>
      </c>
      <c r="L45" s="297"/>
      <c r="M45" s="297" t="s">
        <v>533</v>
      </c>
      <c r="N45" s="297"/>
      <c r="O45" s="297"/>
      <c r="P45" s="297"/>
      <c r="Q45" s="81"/>
      <c r="R45" s="81"/>
      <c r="S45" s="81"/>
      <c r="T45" s="81"/>
      <c r="U45" s="298" t="s">
        <v>534</v>
      </c>
      <c r="V45" s="297"/>
      <c r="W45" s="297"/>
      <c r="X45" s="297"/>
      <c r="Y45" s="297" t="s">
        <v>535</v>
      </c>
      <c r="Z45" s="297"/>
      <c r="AA45" s="81" t="s">
        <v>536</v>
      </c>
      <c r="AB45" s="81" t="s">
        <v>537</v>
      </c>
      <c r="AC45" s="81"/>
      <c r="AD45" s="81"/>
      <c r="AE45" s="81"/>
      <c r="AF45" s="298" t="s">
        <v>538</v>
      </c>
      <c r="AG45" s="300"/>
      <c r="AH45" s="64"/>
      <c r="AI45" s="66"/>
      <c r="AJ45" s="54"/>
      <c r="AK45" s="54"/>
      <c r="AL45" s="54"/>
    </row>
    <row r="46" spans="1:38" ht="15" customHeight="1" outlineLevel="1" x14ac:dyDescent="0.25">
      <c r="A46" s="54"/>
      <c r="B46" s="63"/>
      <c r="C46" s="56">
        <f>INT($C$40)+2</f>
        <v>3</v>
      </c>
      <c r="D46" s="64"/>
      <c r="E46" s="79"/>
      <c r="F46" s="79" t="s">
        <v>539</v>
      </c>
      <c r="G46" s="64"/>
      <c r="H46" s="81" t="s">
        <v>540</v>
      </c>
      <c r="I46" s="81" t="s">
        <v>541</v>
      </c>
      <c r="J46" s="81"/>
      <c r="K46" s="81" t="s">
        <v>542</v>
      </c>
      <c r="L46" s="81" t="s">
        <v>543</v>
      </c>
      <c r="M46" s="81" t="s">
        <v>544</v>
      </c>
      <c r="N46" s="81" t="s">
        <v>545</v>
      </c>
      <c r="O46" s="301" t="s">
        <v>546</v>
      </c>
      <c r="P46" s="81" t="s">
        <v>547</v>
      </c>
      <c r="Q46" s="81"/>
      <c r="R46" s="81" t="s">
        <v>548</v>
      </c>
      <c r="S46" s="81" t="s">
        <v>549</v>
      </c>
      <c r="T46" s="81"/>
      <c r="U46" s="302" t="s">
        <v>550</v>
      </c>
      <c r="V46" s="81" t="s">
        <v>551</v>
      </c>
      <c r="W46" s="81" t="s">
        <v>552</v>
      </c>
      <c r="X46" s="81" t="s">
        <v>553</v>
      </c>
      <c r="Y46" s="81" t="s">
        <v>554</v>
      </c>
      <c r="Z46" s="81" t="s">
        <v>555</v>
      </c>
      <c r="AA46" s="81" t="s">
        <v>556</v>
      </c>
      <c r="AB46" s="81" t="s">
        <v>557</v>
      </c>
      <c r="AC46" s="81"/>
      <c r="AD46" s="81" t="s">
        <v>558</v>
      </c>
      <c r="AE46" s="81"/>
      <c r="AF46" s="298" t="s">
        <v>559</v>
      </c>
      <c r="AG46" s="300"/>
      <c r="AH46" s="64"/>
      <c r="AI46" s="66"/>
      <c r="AJ46" s="54"/>
      <c r="AK46" s="54"/>
      <c r="AL46" s="54"/>
    </row>
    <row r="47" spans="1:38" ht="11.45" customHeight="1" outlineLevel="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3" t="s">
        <v>560</v>
      </c>
      <c r="AG47" s="303" t="s">
        <v>561</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customHeight="1" outlineLevel="2" x14ac:dyDescent="0.25">
      <c r="A50" s="54"/>
      <c r="B50" s="63"/>
      <c r="C50" s="56">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291"/>
      <c r="AH50" s="84"/>
      <c r="AI50" s="66"/>
      <c r="AJ50" s="54"/>
      <c r="AK50" s="54"/>
      <c r="AL50" s="54"/>
    </row>
    <row r="51" spans="1:38" outlineLevel="1" x14ac:dyDescent="0.25">
      <c r="A51" s="54"/>
      <c r="B51" s="63"/>
      <c r="C51" s="56">
        <f>INT($C$40)+2</f>
        <v>3</v>
      </c>
      <c r="D51" s="84"/>
      <c r="E51" s="79"/>
      <c r="F51" s="79"/>
      <c r="G51" s="84"/>
      <c r="H51" s="304"/>
      <c r="I51" s="108"/>
      <c r="J51" s="108"/>
      <c r="K51" s="87"/>
      <c r="L51" s="87"/>
      <c r="M51" s="87"/>
      <c r="N51" s="87"/>
      <c r="O51" s="87"/>
      <c r="P51" s="87"/>
      <c r="Q51" s="87"/>
      <c r="R51" s="87"/>
      <c r="S51" s="87"/>
      <c r="T51" s="87"/>
      <c r="U51" s="305"/>
      <c r="V51" s="305"/>
      <c r="W51" s="305"/>
      <c r="X51" s="305"/>
      <c r="Y51" s="305"/>
      <c r="Z51" s="305"/>
      <c r="AA51" s="305"/>
      <c r="AB51" s="305"/>
      <c r="AC51" s="87"/>
      <c r="AD51" s="87"/>
      <c r="AE51" s="87" t="s">
        <v>562</v>
      </c>
      <c r="AF51" s="87" t="b">
        <v>1</v>
      </c>
      <c r="AG51" s="109" t="b">
        <v>0</v>
      </c>
      <c r="AH51" s="84"/>
      <c r="AI51" s="66"/>
      <c r="AJ51" s="54"/>
      <c r="AK51" s="54"/>
      <c r="AL51" s="54"/>
    </row>
    <row r="52" spans="1:38" outlineLevel="1" x14ac:dyDescent="0.25">
      <c r="A52" s="54"/>
      <c r="B52" s="63"/>
      <c r="C52" s="56">
        <f>INT($C$40)+2</f>
        <v>3</v>
      </c>
      <c r="D52" s="84"/>
      <c r="E52" s="79"/>
      <c r="F52" s="79"/>
      <c r="G52" s="84"/>
      <c r="H52" s="304"/>
      <c r="I52" s="108"/>
      <c r="J52" s="108"/>
      <c r="K52" s="87"/>
      <c r="L52" s="87"/>
      <c r="M52" s="87"/>
      <c r="N52" s="87"/>
      <c r="O52" s="87"/>
      <c r="P52" s="87"/>
      <c r="Q52" s="87"/>
      <c r="R52" s="87"/>
      <c r="S52" s="87"/>
      <c r="T52" s="87"/>
      <c r="U52" s="305"/>
      <c r="V52" s="305"/>
      <c r="W52" s="305"/>
      <c r="X52" s="305"/>
      <c r="Y52" s="305"/>
      <c r="Z52" s="305"/>
      <c r="AA52" s="305"/>
      <c r="AB52" s="305"/>
      <c r="AC52" s="87"/>
      <c r="AD52" s="87"/>
      <c r="AE52" s="87" t="s">
        <v>563</v>
      </c>
      <c r="AF52" s="87">
        <v>-2</v>
      </c>
      <c r="AG52" s="109"/>
      <c r="AH52" s="84"/>
      <c r="AI52" s="66"/>
      <c r="AJ52" s="54"/>
      <c r="AK52" s="54"/>
      <c r="AL52" s="54"/>
    </row>
    <row r="53" spans="1:38" outlineLevel="1" x14ac:dyDescent="0.25">
      <c r="A53" s="54"/>
      <c r="B53" s="63"/>
      <c r="C53" s="56">
        <f>INT($C$40)+2</f>
        <v>3</v>
      </c>
      <c r="D53" s="84"/>
      <c r="E53" s="79"/>
      <c r="F53" s="79"/>
      <c r="G53" s="84"/>
      <c r="H53" s="304" t="s">
        <v>564</v>
      </c>
      <c r="I53" s="108"/>
      <c r="J53" s="108"/>
      <c r="K53" s="87"/>
      <c r="L53" s="87"/>
      <c r="M53" s="87"/>
      <c r="N53" s="87"/>
      <c r="O53" s="87"/>
      <c r="P53" s="87"/>
      <c r="Q53" s="87"/>
      <c r="R53" s="87"/>
      <c r="S53" s="87"/>
      <c r="T53" s="87"/>
      <c r="U53" s="305"/>
      <c r="V53" s="305"/>
      <c r="W53" s="305"/>
      <c r="X53" s="305"/>
      <c r="Y53" s="305"/>
      <c r="Z53" s="305"/>
      <c r="AA53" s="305"/>
      <c r="AB53" s="305"/>
      <c r="AC53" s="87"/>
      <c r="AD53" s="87"/>
      <c r="AE53" s="87" t="s">
        <v>565</v>
      </c>
      <c r="AF53" s="87">
        <f>1-SUM(AG53:AH53)</f>
        <v>1</v>
      </c>
      <c r="AG53" s="109">
        <v>0</v>
      </c>
      <c r="AH53" s="84"/>
      <c r="AI53" s="66"/>
      <c r="AJ53" s="54"/>
      <c r="AK53" s="54"/>
      <c r="AL53" s="54"/>
    </row>
    <row r="54" spans="1:38" outlineLevel="2" x14ac:dyDescent="0.25">
      <c r="A54" s="54"/>
      <c r="B54" s="63"/>
      <c r="C54" s="56">
        <f>INT($C$40)+2</f>
        <v>3</v>
      </c>
      <c r="D54" s="84"/>
      <c r="E54" s="79"/>
      <c r="F54" s="79"/>
      <c r="G54" s="84"/>
      <c r="H54" s="149" t="s">
        <v>566</v>
      </c>
      <c r="I54" s="108"/>
      <c r="J54" s="108"/>
      <c r="K54" s="87"/>
      <c r="L54" s="87"/>
      <c r="M54" s="87"/>
      <c r="N54" s="87"/>
      <c r="O54" s="87"/>
      <c r="P54" s="87"/>
      <c r="Q54" s="87"/>
      <c r="R54" s="87"/>
      <c r="S54" s="87"/>
      <c r="T54" s="87"/>
      <c r="U54" s="109">
        <v>1</v>
      </c>
      <c r="V54" s="109">
        <v>1</v>
      </c>
      <c r="W54" s="109">
        <v>1</v>
      </c>
      <c r="X54" s="109">
        <v>2</v>
      </c>
      <c r="Y54" s="109">
        <v>2</v>
      </c>
      <c r="Z54" s="109">
        <v>2</v>
      </c>
      <c r="AA54" s="109">
        <v>2</v>
      </c>
      <c r="AB54" s="109">
        <v>2</v>
      </c>
      <c r="AC54" s="87"/>
      <c r="AD54" s="109"/>
      <c r="AE54" s="87"/>
      <c r="AF54" s="109">
        <v>1</v>
      </c>
      <c r="AG54" s="109">
        <v>1</v>
      </c>
      <c r="AH54" s="84"/>
      <c r="AI54" s="66"/>
      <c r="AJ54" s="54"/>
      <c r="AK54" s="54"/>
      <c r="AL54" s="54"/>
    </row>
    <row r="55" spans="1:38" outlineLevel="2" x14ac:dyDescent="0.25">
      <c r="A55" s="54"/>
      <c r="B55" s="63"/>
      <c r="C55" s="56">
        <f>INT($C$40)+2</f>
        <v>3</v>
      </c>
      <c r="D55" s="84"/>
      <c r="E55" s="79"/>
      <c r="F55" s="79"/>
      <c r="G55" s="84"/>
      <c r="H55" s="149" t="s">
        <v>567</v>
      </c>
      <c r="I55" s="108"/>
      <c r="J55" s="108"/>
      <c r="K55" s="87"/>
      <c r="L55" s="87"/>
      <c r="M55" s="87"/>
      <c r="N55" s="87"/>
      <c r="O55" s="87"/>
      <c r="P55" s="87"/>
      <c r="Q55" s="87"/>
      <c r="R55" s="87"/>
      <c r="S55" s="87"/>
      <c r="T55" s="87"/>
      <c r="U55" s="306">
        <v>45</v>
      </c>
      <c r="V55" s="109">
        <v>55</v>
      </c>
      <c r="W55" s="109">
        <v>55</v>
      </c>
      <c r="X55" s="109">
        <v>60</v>
      </c>
      <c r="Y55" s="109">
        <v>72</v>
      </c>
      <c r="Z55" s="109">
        <v>70</v>
      </c>
      <c r="AA55" s="109">
        <v>70</v>
      </c>
      <c r="AB55" s="109">
        <v>80</v>
      </c>
      <c r="AC55" s="87"/>
      <c r="AD55" s="109"/>
      <c r="AE55" s="87"/>
      <c r="AF55" s="109">
        <v>1</v>
      </c>
      <c r="AG55" s="109">
        <v>1</v>
      </c>
      <c r="AH55" s="84"/>
      <c r="AI55" s="66"/>
      <c r="AJ55" s="54"/>
      <c r="AK55" s="54"/>
      <c r="AL55" s="54"/>
    </row>
    <row r="56" spans="1:38" outlineLevel="2" x14ac:dyDescent="0.25">
      <c r="A56" s="54"/>
      <c r="B56" s="63"/>
      <c r="C56" s="56">
        <f t="shared" ref="C56:C97" si="0">INT($C$40)+2</f>
        <v>3</v>
      </c>
      <c r="D56" s="84"/>
      <c r="E56" s="79"/>
      <c r="F56" s="79"/>
      <c r="G56" s="84"/>
      <c r="H56" s="149" t="s">
        <v>568</v>
      </c>
      <c r="I56" s="108"/>
      <c r="J56" s="108"/>
      <c r="K56" s="87"/>
      <c r="L56" s="87"/>
      <c r="M56" s="87"/>
      <c r="N56" s="87"/>
      <c r="O56" s="87"/>
      <c r="P56" s="87"/>
      <c r="Q56" s="87"/>
      <c r="R56" s="87"/>
      <c r="S56" s="87"/>
      <c r="T56" s="87"/>
      <c r="U56" s="306">
        <v>1</v>
      </c>
      <c r="V56" s="109">
        <v>1</v>
      </c>
      <c r="W56" s="109">
        <v>1</v>
      </c>
      <c r="X56" s="109">
        <v>0</v>
      </c>
      <c r="Y56" s="109">
        <v>1</v>
      </c>
      <c r="Z56" s="109">
        <v>1</v>
      </c>
      <c r="AA56" s="109">
        <v>1</v>
      </c>
      <c r="AB56" s="109">
        <v>1</v>
      </c>
      <c r="AC56" s="87"/>
      <c r="AD56" s="109"/>
      <c r="AE56" s="87"/>
      <c r="AF56" s="109">
        <v>1</v>
      </c>
      <c r="AG56" s="109">
        <v>1</v>
      </c>
      <c r="AH56" s="84"/>
      <c r="AI56" s="66"/>
      <c r="AJ56" s="54"/>
      <c r="AK56" s="54"/>
      <c r="AL56" s="54"/>
    </row>
    <row r="57" spans="1:38" outlineLevel="2" x14ac:dyDescent="0.25">
      <c r="A57" s="54"/>
      <c r="B57" s="63"/>
      <c r="C57" s="56">
        <f t="shared" si="0"/>
        <v>3</v>
      </c>
      <c r="D57" s="84"/>
      <c r="E57" s="79"/>
      <c r="F57" s="79"/>
      <c r="G57" s="84"/>
      <c r="H57" s="149" t="s">
        <v>569</v>
      </c>
      <c r="I57" s="108"/>
      <c r="J57" s="108"/>
      <c r="K57" s="87"/>
      <c r="L57" s="87"/>
      <c r="M57" s="87"/>
      <c r="N57" s="87"/>
      <c r="O57" s="87"/>
      <c r="P57" s="87"/>
      <c r="Q57" s="87"/>
      <c r="R57" s="87"/>
      <c r="S57" s="87"/>
      <c r="T57" s="87"/>
      <c r="U57" s="306">
        <v>1</v>
      </c>
      <c r="V57" s="109">
        <v>1</v>
      </c>
      <c r="W57" s="109">
        <v>1</v>
      </c>
      <c r="X57" s="109">
        <v>0</v>
      </c>
      <c r="Y57" s="109">
        <v>0.75</v>
      </c>
      <c r="Z57" s="109">
        <v>0.75</v>
      </c>
      <c r="AA57" s="109">
        <v>0.75</v>
      </c>
      <c r="AB57" s="109">
        <v>0.5</v>
      </c>
      <c r="AC57" s="87"/>
      <c r="AD57" s="109" t="s">
        <v>570</v>
      </c>
      <c r="AE57" s="87"/>
      <c r="AF57" s="109">
        <v>1</v>
      </c>
      <c r="AG57" s="109">
        <v>1</v>
      </c>
      <c r="AH57" s="84"/>
      <c r="AI57" s="66"/>
      <c r="AJ57" s="54"/>
      <c r="AK57" s="54"/>
      <c r="AL57" s="54"/>
    </row>
    <row r="58" spans="1:38" outlineLevel="2" x14ac:dyDescent="0.25">
      <c r="A58" s="54"/>
      <c r="B58" s="63"/>
      <c r="C58" s="56">
        <f t="shared" si="0"/>
        <v>3</v>
      </c>
      <c r="D58" s="84"/>
      <c r="E58" s="79"/>
      <c r="F58" s="79"/>
      <c r="G58" s="84"/>
      <c r="H58" s="149" t="s">
        <v>571</v>
      </c>
      <c r="I58" s="108" t="s">
        <v>572</v>
      </c>
      <c r="J58" s="108"/>
      <c r="K58" s="87"/>
      <c r="L58" s="87"/>
      <c r="M58" s="87"/>
      <c r="N58" s="87"/>
      <c r="O58" s="87"/>
      <c r="P58" s="87"/>
      <c r="Q58" s="87"/>
      <c r="R58" s="87"/>
      <c r="S58" s="87"/>
      <c r="T58" s="87"/>
      <c r="U58" s="109">
        <v>0.5</v>
      </c>
      <c r="V58" s="109">
        <v>0.5</v>
      </c>
      <c r="W58" s="109">
        <v>0.5</v>
      </c>
      <c r="X58" s="109">
        <v>0.5</v>
      </c>
      <c r="Y58" s="109">
        <v>0.5</v>
      </c>
      <c r="Z58" s="109">
        <v>0.5</v>
      </c>
      <c r="AA58" s="109">
        <v>0.5</v>
      </c>
      <c r="AB58" s="109">
        <v>0.5</v>
      </c>
      <c r="AC58" s="87"/>
      <c r="AD58" s="109" t="s">
        <v>570</v>
      </c>
      <c r="AE58" s="87"/>
      <c r="AF58" s="109">
        <v>1</v>
      </c>
      <c r="AG58" s="109">
        <v>1</v>
      </c>
      <c r="AH58" s="84"/>
      <c r="AI58" s="66"/>
      <c r="AJ58" s="54"/>
      <c r="AK58" s="54"/>
      <c r="AL58" s="54"/>
    </row>
    <row r="59" spans="1:38" outlineLevel="2" x14ac:dyDescent="0.25">
      <c r="A59" s="54"/>
      <c r="B59" s="63"/>
      <c r="C59" s="56">
        <f t="shared" si="0"/>
        <v>3</v>
      </c>
      <c r="D59" s="84"/>
      <c r="E59" s="79"/>
      <c r="F59" s="79"/>
      <c r="G59" s="84"/>
      <c r="H59" s="149" t="s">
        <v>573</v>
      </c>
      <c r="I59" s="108" t="s">
        <v>572</v>
      </c>
      <c r="J59" s="108"/>
      <c r="K59" s="87"/>
      <c r="L59" s="87"/>
      <c r="M59" s="87"/>
      <c r="N59" s="87"/>
      <c r="O59" s="87"/>
      <c r="P59" s="87"/>
      <c r="Q59" s="87"/>
      <c r="R59" s="87"/>
      <c r="S59" s="87"/>
      <c r="T59" s="87"/>
      <c r="U59" s="109">
        <v>0.5</v>
      </c>
      <c r="V59" s="109">
        <v>0.5</v>
      </c>
      <c r="W59" s="109">
        <v>0.5</v>
      </c>
      <c r="X59" s="109">
        <v>0.5</v>
      </c>
      <c r="Y59" s="109">
        <v>0.5</v>
      </c>
      <c r="Z59" s="109">
        <v>0.5</v>
      </c>
      <c r="AA59" s="109">
        <v>0.5</v>
      </c>
      <c r="AB59" s="109">
        <v>0.5</v>
      </c>
      <c r="AC59" s="87"/>
      <c r="AD59" s="109" t="s">
        <v>570</v>
      </c>
      <c r="AE59" s="87"/>
      <c r="AF59" s="109">
        <v>1</v>
      </c>
      <c r="AG59" s="109">
        <v>1</v>
      </c>
      <c r="AH59" s="84"/>
      <c r="AI59" s="66"/>
      <c r="AJ59" s="54"/>
      <c r="AK59" s="54"/>
      <c r="AL59" s="54"/>
    </row>
    <row r="60" spans="1:38" outlineLevel="2" x14ac:dyDescent="0.25">
      <c r="A60" s="54"/>
      <c r="B60" s="63"/>
      <c r="C60" s="56">
        <f t="shared" si="0"/>
        <v>3</v>
      </c>
      <c r="D60" s="84"/>
      <c r="E60" s="79"/>
      <c r="F60" s="79"/>
      <c r="G60" s="84"/>
      <c r="H60" s="149" t="s">
        <v>574</v>
      </c>
      <c r="I60" s="108" t="s">
        <v>575</v>
      </c>
      <c r="J60" s="108"/>
      <c r="K60" s="87"/>
      <c r="L60" s="87"/>
      <c r="M60" s="87"/>
      <c r="N60" s="87"/>
      <c r="O60" s="87"/>
      <c r="P60" s="87"/>
      <c r="Q60" s="87"/>
      <c r="R60" s="87"/>
      <c r="S60" s="87"/>
      <c r="T60" s="87"/>
      <c r="U60" s="109">
        <v>3.5</v>
      </c>
      <c r="V60" s="109">
        <v>3.6</v>
      </c>
      <c r="W60" s="109">
        <v>3.6</v>
      </c>
      <c r="X60" s="109">
        <v>1.5</v>
      </c>
      <c r="Y60" s="109">
        <v>3</v>
      </c>
      <c r="Z60" s="109">
        <v>3</v>
      </c>
      <c r="AA60" s="109">
        <v>3</v>
      </c>
      <c r="AB60" s="109">
        <v>3</v>
      </c>
      <c r="AC60" s="87"/>
      <c r="AD60" s="109"/>
      <c r="AE60" s="87"/>
      <c r="AF60" s="109">
        <v>1</v>
      </c>
      <c r="AG60" s="109">
        <v>1</v>
      </c>
      <c r="AH60" s="84"/>
      <c r="AI60" s="66"/>
      <c r="AJ60" s="54"/>
      <c r="AK60" s="54"/>
      <c r="AL60" s="54"/>
    </row>
    <row r="61" spans="1:38" outlineLevel="2" x14ac:dyDescent="0.25">
      <c r="A61" s="54"/>
      <c r="B61" s="63"/>
      <c r="C61" s="56">
        <f t="shared" si="0"/>
        <v>3</v>
      </c>
      <c r="D61" s="84"/>
      <c r="E61" s="79"/>
      <c r="F61" s="79"/>
      <c r="G61" s="84"/>
      <c r="H61" s="149" t="s">
        <v>576</v>
      </c>
      <c r="I61" s="108"/>
      <c r="J61" s="108"/>
      <c r="K61" s="87"/>
      <c r="L61" s="87"/>
      <c r="M61" s="87"/>
      <c r="N61" s="87"/>
      <c r="O61" s="87"/>
      <c r="P61" s="87"/>
      <c r="Q61" s="87"/>
      <c r="R61" s="87"/>
      <c r="S61" s="87"/>
      <c r="T61" s="87"/>
      <c r="U61" s="109">
        <v>17.5</v>
      </c>
      <c r="V61" s="109">
        <v>20</v>
      </c>
      <c r="W61" s="109">
        <v>21</v>
      </c>
      <c r="X61" s="109">
        <v>34.5</v>
      </c>
      <c r="Y61" s="109">
        <v>34.5</v>
      </c>
      <c r="Z61" s="109">
        <v>34.5</v>
      </c>
      <c r="AA61" s="109">
        <v>28</v>
      </c>
      <c r="AB61" s="109">
        <v>34.5</v>
      </c>
      <c r="AC61" s="87"/>
      <c r="AD61" s="109"/>
      <c r="AE61" s="87"/>
      <c r="AF61" s="109">
        <v>1</v>
      </c>
      <c r="AG61" s="109">
        <v>1</v>
      </c>
      <c r="AH61" s="84"/>
      <c r="AI61" s="66"/>
      <c r="AJ61" s="54"/>
      <c r="AK61" s="54"/>
      <c r="AL61" s="54"/>
    </row>
    <row r="62" spans="1:38" outlineLevel="2" x14ac:dyDescent="0.25">
      <c r="A62" s="54"/>
      <c r="B62" s="63"/>
      <c r="C62" s="56">
        <f t="shared" si="0"/>
        <v>3</v>
      </c>
      <c r="D62" s="84"/>
      <c r="E62" s="79"/>
      <c r="F62" s="79"/>
      <c r="G62" s="84"/>
      <c r="H62" s="87" t="s">
        <v>577</v>
      </c>
      <c r="I62" s="108" t="s">
        <v>136</v>
      </c>
      <c r="J62" s="108"/>
      <c r="K62" s="87"/>
      <c r="L62" s="87"/>
      <c r="M62" s="87"/>
      <c r="N62" s="87"/>
      <c r="O62" s="87"/>
      <c r="P62" s="87"/>
      <c r="Q62" s="87"/>
      <c r="R62" s="87"/>
      <c r="S62" s="87"/>
      <c r="T62" s="87"/>
      <c r="U62" s="136">
        <v>0.1</v>
      </c>
      <c r="V62" s="136">
        <v>0.1</v>
      </c>
      <c r="W62" s="136">
        <v>0.1</v>
      </c>
      <c r="X62" s="136">
        <v>0.1</v>
      </c>
      <c r="Y62" s="136">
        <v>0.1</v>
      </c>
      <c r="Z62" s="136">
        <v>0.1</v>
      </c>
      <c r="AA62" s="136">
        <v>0.1</v>
      </c>
      <c r="AB62" s="136">
        <v>0.1</v>
      </c>
      <c r="AC62" s="87"/>
      <c r="AD62" s="87"/>
      <c r="AE62" s="87"/>
      <c r="AF62" s="109">
        <v>1</v>
      </c>
      <c r="AG62" s="109">
        <v>1</v>
      </c>
      <c r="AH62" s="84"/>
      <c r="AI62" s="66"/>
      <c r="AJ62" s="54"/>
      <c r="AK62" s="54"/>
      <c r="AL62" s="54"/>
    </row>
    <row r="63" spans="1:38" outlineLevel="2" x14ac:dyDescent="0.25">
      <c r="A63" s="54"/>
      <c r="B63" s="63"/>
      <c r="C63" s="56">
        <f t="shared" si="0"/>
        <v>3</v>
      </c>
      <c r="D63" s="84"/>
      <c r="E63" s="79"/>
      <c r="F63" s="79"/>
      <c r="G63" s="84"/>
      <c r="H63" s="87" t="s">
        <v>578</v>
      </c>
      <c r="I63" s="108" t="s">
        <v>136</v>
      </c>
      <c r="J63" s="108"/>
      <c r="K63" s="87"/>
      <c r="L63" s="87"/>
      <c r="M63" s="87"/>
      <c r="N63" s="87"/>
      <c r="O63" s="87"/>
      <c r="P63" s="87"/>
      <c r="Q63" s="87"/>
      <c r="R63" s="87"/>
      <c r="S63" s="87"/>
      <c r="T63" s="87"/>
      <c r="U63" s="136">
        <v>0.02</v>
      </c>
      <c r="V63" s="136">
        <v>0.02</v>
      </c>
      <c r="W63" s="136">
        <v>0.02</v>
      </c>
      <c r="X63" s="136">
        <v>0.02</v>
      </c>
      <c r="Y63" s="136">
        <v>0.02</v>
      </c>
      <c r="Z63" s="136">
        <v>0.02</v>
      </c>
      <c r="AA63" s="136">
        <v>0.02</v>
      </c>
      <c r="AB63" s="136">
        <v>0.02</v>
      </c>
      <c r="AC63" s="87"/>
      <c r="AD63" s="87"/>
      <c r="AE63" s="87"/>
      <c r="AF63" s="109">
        <v>1</v>
      </c>
      <c r="AG63" s="109">
        <v>1</v>
      </c>
      <c r="AH63" s="84"/>
      <c r="AI63" s="66"/>
      <c r="AJ63" s="54"/>
      <c r="AK63" s="54"/>
      <c r="AL63" s="54"/>
    </row>
    <row r="64" spans="1:38" outlineLevel="2" x14ac:dyDescent="0.25">
      <c r="A64" s="54"/>
      <c r="B64" s="63"/>
      <c r="C64" s="56">
        <f t="shared" si="0"/>
        <v>3</v>
      </c>
      <c r="D64" s="84"/>
      <c r="E64" s="79"/>
      <c r="F64" s="79"/>
      <c r="G64" s="84"/>
      <c r="H64" s="87" t="s">
        <v>579</v>
      </c>
      <c r="I64" s="108" t="s">
        <v>136</v>
      </c>
      <c r="J64" s="108"/>
      <c r="K64" s="87"/>
      <c r="L64" s="87"/>
      <c r="M64" s="87"/>
      <c r="N64" s="87"/>
      <c r="O64" s="87"/>
      <c r="P64" s="87"/>
      <c r="Q64" s="87"/>
      <c r="R64" s="87"/>
      <c r="S64" s="87"/>
      <c r="T64" s="87"/>
      <c r="U64" s="307">
        <f>1-(U62+U63)</f>
        <v>0.88</v>
      </c>
      <c r="V64" s="307">
        <f t="shared" ref="V64:AB64" si="1">1-(V62+V63)</f>
        <v>0.88</v>
      </c>
      <c r="W64" s="307">
        <f t="shared" si="1"/>
        <v>0.88</v>
      </c>
      <c r="X64" s="307">
        <f t="shared" si="1"/>
        <v>0.88</v>
      </c>
      <c r="Y64" s="307">
        <f t="shared" si="1"/>
        <v>0.88</v>
      </c>
      <c r="Z64" s="307">
        <f t="shared" si="1"/>
        <v>0.88</v>
      </c>
      <c r="AA64" s="307">
        <f t="shared" si="1"/>
        <v>0.88</v>
      </c>
      <c r="AB64" s="307">
        <f t="shared" si="1"/>
        <v>0.88</v>
      </c>
      <c r="AC64" s="87"/>
      <c r="AD64" s="87"/>
      <c r="AE64" s="87"/>
      <c r="AF64" s="109">
        <v>1</v>
      </c>
      <c r="AG64" s="109">
        <v>1</v>
      </c>
      <c r="AH64" s="84"/>
      <c r="AI64" s="66"/>
      <c r="AJ64" s="54"/>
      <c r="AK64" s="54"/>
      <c r="AL64" s="54"/>
    </row>
    <row r="65" spans="1:38" outlineLevel="2" x14ac:dyDescent="0.25">
      <c r="A65" s="54"/>
      <c r="B65" s="63"/>
      <c r="C65" s="56">
        <f t="shared" si="0"/>
        <v>3</v>
      </c>
      <c r="D65" s="84"/>
      <c r="E65" s="79"/>
      <c r="F65" s="79"/>
      <c r="G65" s="84"/>
      <c r="H65" s="87" t="s">
        <v>580</v>
      </c>
      <c r="I65" s="108" t="s">
        <v>136</v>
      </c>
      <c r="J65" s="108"/>
      <c r="K65" s="87"/>
      <c r="L65" s="87"/>
      <c r="M65" s="87"/>
      <c r="N65" s="87"/>
      <c r="O65" s="87"/>
      <c r="P65" s="87"/>
      <c r="Q65" s="87"/>
      <c r="R65" s="87"/>
      <c r="S65" s="87"/>
      <c r="T65" s="87"/>
      <c r="U65" s="136">
        <v>0.15</v>
      </c>
      <c r="V65" s="136">
        <v>0.15</v>
      </c>
      <c r="W65" s="136">
        <v>0.15</v>
      </c>
      <c r="X65" s="136">
        <v>0.15</v>
      </c>
      <c r="Y65" s="136">
        <v>0.15</v>
      </c>
      <c r="Z65" s="136">
        <v>0.15</v>
      </c>
      <c r="AA65" s="136">
        <v>0.15</v>
      </c>
      <c r="AB65" s="136">
        <v>0.15</v>
      </c>
      <c r="AC65" s="87"/>
      <c r="AD65" s="87"/>
      <c r="AE65" s="87"/>
      <c r="AF65" s="109">
        <v>1</v>
      </c>
      <c r="AG65" s="109">
        <v>1</v>
      </c>
      <c r="AH65" s="84"/>
      <c r="AI65" s="66"/>
      <c r="AJ65" s="54"/>
      <c r="AK65" s="54"/>
      <c r="AL65" s="54"/>
    </row>
    <row r="66" spans="1:38" outlineLevel="2" x14ac:dyDescent="0.25">
      <c r="A66" s="54"/>
      <c r="B66" s="63"/>
      <c r="C66" s="56">
        <f t="shared" si="0"/>
        <v>3</v>
      </c>
      <c r="D66" s="84"/>
      <c r="E66" s="79"/>
      <c r="F66" s="79"/>
      <c r="G66" s="84"/>
      <c r="H66" s="87" t="s">
        <v>581</v>
      </c>
      <c r="I66" s="108" t="s">
        <v>136</v>
      </c>
      <c r="J66" s="108"/>
      <c r="K66" s="87"/>
      <c r="L66" s="87"/>
      <c r="M66" s="87"/>
      <c r="N66" s="87"/>
      <c r="O66" s="87"/>
      <c r="P66" s="87"/>
      <c r="Q66" s="87"/>
      <c r="R66" s="87"/>
      <c r="S66" s="87"/>
      <c r="T66" s="87"/>
      <c r="U66" s="136">
        <v>0.02</v>
      </c>
      <c r="V66" s="136">
        <v>0.02</v>
      </c>
      <c r="W66" s="136">
        <v>0.02</v>
      </c>
      <c r="X66" s="136">
        <v>0.02</v>
      </c>
      <c r="Y66" s="136">
        <v>0.02</v>
      </c>
      <c r="Z66" s="136">
        <v>0.02</v>
      </c>
      <c r="AA66" s="136">
        <v>0.02</v>
      </c>
      <c r="AB66" s="136">
        <v>0.02</v>
      </c>
      <c r="AC66" s="87"/>
      <c r="AD66" s="87"/>
      <c r="AE66" s="87"/>
      <c r="AF66" s="109">
        <v>1</v>
      </c>
      <c r="AG66" s="109">
        <v>1</v>
      </c>
      <c r="AH66" s="84"/>
      <c r="AI66" s="66"/>
      <c r="AJ66" s="54"/>
      <c r="AK66" s="54"/>
      <c r="AL66" s="54"/>
    </row>
    <row r="67" spans="1:38" outlineLevel="2" x14ac:dyDescent="0.25">
      <c r="A67" s="54"/>
      <c r="B67" s="63"/>
      <c r="C67" s="56">
        <f t="shared" si="0"/>
        <v>3</v>
      </c>
      <c r="D67" s="84"/>
      <c r="E67" s="79"/>
      <c r="F67" s="79"/>
      <c r="G67" s="84"/>
      <c r="H67" s="87" t="s">
        <v>582</v>
      </c>
      <c r="I67" s="108" t="s">
        <v>136</v>
      </c>
      <c r="J67" s="108"/>
      <c r="K67" s="87"/>
      <c r="L67" s="87"/>
      <c r="M67" s="87"/>
      <c r="N67" s="87"/>
      <c r="O67" s="87"/>
      <c r="P67" s="87"/>
      <c r="Q67" s="87"/>
      <c r="R67" s="87"/>
      <c r="S67" s="87"/>
      <c r="T67" s="87"/>
      <c r="U67" s="307">
        <f>1-(U65+U66)</f>
        <v>0.83000000000000007</v>
      </c>
      <c r="V67" s="307">
        <f t="shared" ref="V67:AB67" si="2">1-(V65+V66)</f>
        <v>0.83000000000000007</v>
      </c>
      <c r="W67" s="307">
        <f t="shared" si="2"/>
        <v>0.83000000000000007</v>
      </c>
      <c r="X67" s="307">
        <f t="shared" si="2"/>
        <v>0.83000000000000007</v>
      </c>
      <c r="Y67" s="307">
        <f t="shared" si="2"/>
        <v>0.83000000000000007</v>
      </c>
      <c r="Z67" s="307">
        <f t="shared" si="2"/>
        <v>0.83000000000000007</v>
      </c>
      <c r="AA67" s="307">
        <f t="shared" si="2"/>
        <v>0.83000000000000007</v>
      </c>
      <c r="AB67" s="307">
        <f t="shared" si="2"/>
        <v>0.83000000000000007</v>
      </c>
      <c r="AC67" s="87"/>
      <c r="AD67" s="87"/>
      <c r="AE67" s="87"/>
      <c r="AF67" s="109">
        <v>1</v>
      </c>
      <c r="AG67" s="109">
        <v>1</v>
      </c>
      <c r="AH67" s="84"/>
      <c r="AI67" s="66"/>
      <c r="AJ67" s="54"/>
      <c r="AK67" s="54"/>
      <c r="AL67" s="54"/>
    </row>
    <row r="68" spans="1:38" outlineLevel="2" x14ac:dyDescent="0.25">
      <c r="A68" s="54"/>
      <c r="B68" s="63"/>
      <c r="C68" s="56">
        <f t="shared" si="0"/>
        <v>3</v>
      </c>
      <c r="D68" s="84"/>
      <c r="E68" s="79"/>
      <c r="F68" s="79"/>
      <c r="G68" s="84"/>
      <c r="H68" s="87" t="s">
        <v>583</v>
      </c>
      <c r="I68" s="108" t="s">
        <v>136</v>
      </c>
      <c r="J68" s="108"/>
      <c r="K68" s="87"/>
      <c r="L68" s="87"/>
      <c r="M68" s="87"/>
      <c r="N68" s="87"/>
      <c r="O68" s="87"/>
      <c r="P68" s="87"/>
      <c r="Q68" s="87"/>
      <c r="R68" s="87"/>
      <c r="S68" s="87"/>
      <c r="T68" s="87"/>
      <c r="U68" s="136">
        <v>1.1499999999999999</v>
      </c>
      <c r="V68" s="136">
        <v>1.3</v>
      </c>
      <c r="W68" s="136">
        <v>1.45</v>
      </c>
      <c r="X68" s="308">
        <f t="shared" ref="X68:AB71" si="3">W68</f>
        <v>1.45</v>
      </c>
      <c r="Y68" s="308">
        <f t="shared" si="3"/>
        <v>1.45</v>
      </c>
      <c r="Z68" s="308">
        <f t="shared" si="3"/>
        <v>1.45</v>
      </c>
      <c r="AA68" s="308">
        <f t="shared" si="3"/>
        <v>1.45</v>
      </c>
      <c r="AB68" s="308">
        <f t="shared" si="3"/>
        <v>1.45</v>
      </c>
      <c r="AC68" s="87"/>
      <c r="AD68" s="87"/>
      <c r="AE68" s="87"/>
      <c r="AF68" s="109">
        <v>1</v>
      </c>
      <c r="AG68" s="109">
        <v>1</v>
      </c>
      <c r="AH68" s="84"/>
      <c r="AI68" s="66"/>
      <c r="AJ68" s="54"/>
      <c r="AK68" s="54"/>
      <c r="AL68" s="54"/>
    </row>
    <row r="69" spans="1:38" outlineLevel="2" x14ac:dyDescent="0.25">
      <c r="A69" s="54"/>
      <c r="B69" s="63"/>
      <c r="C69" s="56">
        <f t="shared" si="0"/>
        <v>3</v>
      </c>
      <c r="D69" s="84"/>
      <c r="E69" s="79"/>
      <c r="F69" s="79"/>
      <c r="G69" s="84"/>
      <c r="H69" s="87" t="s">
        <v>584</v>
      </c>
      <c r="I69" s="108" t="s">
        <v>136</v>
      </c>
      <c r="J69" s="108"/>
      <c r="K69" s="87"/>
      <c r="L69" s="87"/>
      <c r="M69" s="87"/>
      <c r="N69" s="87"/>
      <c r="O69" s="87"/>
      <c r="P69" s="87"/>
      <c r="Q69" s="87"/>
      <c r="R69" s="87"/>
      <c r="S69" s="87"/>
      <c r="T69" s="87"/>
      <c r="U69" s="136">
        <v>0.8</v>
      </c>
      <c r="V69" s="136">
        <v>0.9</v>
      </c>
      <c r="W69" s="136">
        <v>0.9</v>
      </c>
      <c r="X69" s="308">
        <f t="shared" si="3"/>
        <v>0.9</v>
      </c>
      <c r="Y69" s="308">
        <f t="shared" si="3"/>
        <v>0.9</v>
      </c>
      <c r="Z69" s="308">
        <f t="shared" si="3"/>
        <v>0.9</v>
      </c>
      <c r="AA69" s="308">
        <f t="shared" si="3"/>
        <v>0.9</v>
      </c>
      <c r="AB69" s="308">
        <f t="shared" si="3"/>
        <v>0.9</v>
      </c>
      <c r="AC69" s="87"/>
      <c r="AD69" s="87"/>
      <c r="AE69" s="87"/>
      <c r="AF69" s="109">
        <v>1</v>
      </c>
      <c r="AG69" s="109">
        <v>1</v>
      </c>
      <c r="AH69" s="84"/>
      <c r="AI69" s="66"/>
      <c r="AJ69" s="54"/>
      <c r="AK69" s="54"/>
      <c r="AL69" s="54"/>
    </row>
    <row r="70" spans="1:38" outlineLevel="2" x14ac:dyDescent="0.25">
      <c r="A70" s="54"/>
      <c r="B70" s="63"/>
      <c r="C70" s="56">
        <f t="shared" si="0"/>
        <v>3</v>
      </c>
      <c r="D70" s="84"/>
      <c r="E70" s="79"/>
      <c r="F70" s="79"/>
      <c r="G70" s="84"/>
      <c r="H70" s="87" t="s">
        <v>585</v>
      </c>
      <c r="I70" s="108" t="s">
        <v>136</v>
      </c>
      <c r="J70" s="108"/>
      <c r="K70" s="87"/>
      <c r="L70" s="87"/>
      <c r="M70" s="87"/>
      <c r="N70" s="87"/>
      <c r="O70" s="87"/>
      <c r="P70" s="87"/>
      <c r="Q70" s="87"/>
      <c r="R70" s="87"/>
      <c r="S70" s="87"/>
      <c r="T70" s="87"/>
      <c r="U70" s="136">
        <v>0.55000000000000004</v>
      </c>
      <c r="V70" s="136">
        <v>0.65</v>
      </c>
      <c r="W70" s="136">
        <v>0.65</v>
      </c>
      <c r="X70" s="308">
        <f t="shared" si="3"/>
        <v>0.65</v>
      </c>
      <c r="Y70" s="308">
        <f t="shared" si="3"/>
        <v>0.65</v>
      </c>
      <c r="Z70" s="308">
        <f t="shared" si="3"/>
        <v>0.65</v>
      </c>
      <c r="AA70" s="308">
        <f t="shared" si="3"/>
        <v>0.65</v>
      </c>
      <c r="AB70" s="308">
        <f t="shared" si="3"/>
        <v>0.65</v>
      </c>
      <c r="AC70" s="87"/>
      <c r="AD70" s="87"/>
      <c r="AE70" s="87"/>
      <c r="AF70" s="109">
        <v>1</v>
      </c>
      <c r="AG70" s="109">
        <v>1</v>
      </c>
      <c r="AH70" s="84"/>
      <c r="AI70" s="66"/>
      <c r="AJ70" s="54"/>
      <c r="AK70" s="54"/>
      <c r="AL70" s="54"/>
    </row>
    <row r="71" spans="1:38" outlineLevel="2" x14ac:dyDescent="0.25">
      <c r="A71" s="54"/>
      <c r="B71" s="63"/>
      <c r="C71" s="56">
        <f t="shared" si="0"/>
        <v>3</v>
      </c>
      <c r="D71" s="84"/>
      <c r="E71" s="79"/>
      <c r="F71" s="79"/>
      <c r="G71" s="84"/>
      <c r="H71" s="87" t="s">
        <v>586</v>
      </c>
      <c r="I71" s="108" t="s">
        <v>136</v>
      </c>
      <c r="J71" s="108"/>
      <c r="K71" s="87"/>
      <c r="L71" s="87"/>
      <c r="M71" s="87"/>
      <c r="N71" s="87"/>
      <c r="O71" s="87"/>
      <c r="P71" s="87"/>
      <c r="Q71" s="87"/>
      <c r="R71" s="87"/>
      <c r="S71" s="87"/>
      <c r="T71" s="87"/>
      <c r="U71" s="136">
        <v>0.4</v>
      </c>
      <c r="V71" s="136">
        <v>0.5</v>
      </c>
      <c r="W71" s="136">
        <v>0.5</v>
      </c>
      <c r="X71" s="308">
        <f t="shared" si="3"/>
        <v>0.5</v>
      </c>
      <c r="Y71" s="308">
        <f t="shared" si="3"/>
        <v>0.5</v>
      </c>
      <c r="Z71" s="308">
        <f t="shared" si="3"/>
        <v>0.5</v>
      </c>
      <c r="AA71" s="308">
        <f t="shared" si="3"/>
        <v>0.5</v>
      </c>
      <c r="AB71" s="308">
        <f t="shared" si="3"/>
        <v>0.5</v>
      </c>
      <c r="AC71" s="87"/>
      <c r="AD71" s="87"/>
      <c r="AE71" s="87"/>
      <c r="AF71" s="109">
        <v>1</v>
      </c>
      <c r="AG71" s="109">
        <v>1</v>
      </c>
      <c r="AH71" s="84"/>
      <c r="AI71" s="66"/>
      <c r="AJ71" s="54"/>
      <c r="AK71" s="54"/>
      <c r="AL71" s="54"/>
    </row>
    <row r="72" spans="1:38" outlineLevel="2" x14ac:dyDescent="0.25">
      <c r="A72" s="54"/>
      <c r="B72" s="63"/>
      <c r="C72" s="56">
        <f t="shared" si="0"/>
        <v>3</v>
      </c>
      <c r="D72" s="84"/>
      <c r="E72" s="79"/>
      <c r="F72" s="79"/>
      <c r="G72" s="84"/>
      <c r="H72" s="87"/>
      <c r="I72" s="108"/>
      <c r="J72" s="108"/>
      <c r="K72" s="87"/>
      <c r="L72" s="87"/>
      <c r="M72" s="87"/>
      <c r="N72" s="87"/>
      <c r="O72" s="87"/>
      <c r="P72" s="87"/>
      <c r="Q72" s="87"/>
      <c r="R72" s="87"/>
      <c r="S72" s="87"/>
      <c r="T72" s="109">
        <v>4</v>
      </c>
      <c r="U72" s="87"/>
      <c r="V72" s="87"/>
      <c r="W72" s="91">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587</v>
      </c>
      <c r="I73" s="108" t="s">
        <v>136</v>
      </c>
      <c r="J73" s="108"/>
      <c r="K73" s="87"/>
      <c r="L73" s="87"/>
      <c r="M73" s="87"/>
      <c r="N73" s="87"/>
      <c r="O73" s="87"/>
      <c r="P73" s="87"/>
      <c r="Q73" s="87"/>
      <c r="R73" s="87"/>
      <c r="S73" s="87"/>
      <c r="T73" s="87"/>
      <c r="U73" s="136">
        <v>0</v>
      </c>
      <c r="V73" s="309">
        <f t="shared" ref="V73:AB80" si="4">U73</f>
        <v>0</v>
      </c>
      <c r="W73" s="309">
        <f t="shared" si="4"/>
        <v>0</v>
      </c>
      <c r="X73" s="308">
        <f t="shared" si="4"/>
        <v>0</v>
      </c>
      <c r="Y73" s="308">
        <f t="shared" si="4"/>
        <v>0</v>
      </c>
      <c r="Z73" s="308">
        <f t="shared" si="4"/>
        <v>0</v>
      </c>
      <c r="AA73" s="308">
        <f t="shared" si="4"/>
        <v>0</v>
      </c>
      <c r="AB73" s="308">
        <f t="shared" si="4"/>
        <v>0</v>
      </c>
      <c r="AC73" s="87"/>
      <c r="AD73" s="87"/>
      <c r="AE73" s="87"/>
      <c r="AF73" s="109">
        <v>1</v>
      </c>
      <c r="AG73" s="109">
        <v>1</v>
      </c>
      <c r="AH73" s="84"/>
      <c r="AI73" s="66"/>
      <c r="AJ73" s="54"/>
      <c r="AK73" s="54"/>
      <c r="AL73" s="54"/>
    </row>
    <row r="74" spans="1:38" outlineLevel="2" x14ac:dyDescent="0.25">
      <c r="A74" s="54"/>
      <c r="B74" s="63"/>
      <c r="C74" s="56">
        <f t="shared" si="0"/>
        <v>3</v>
      </c>
      <c r="D74" s="84"/>
      <c r="E74" s="79"/>
      <c r="F74" s="79">
        <v>0</v>
      </c>
      <c r="G74" s="84"/>
      <c r="H74" s="87" t="s">
        <v>588</v>
      </c>
      <c r="I74" s="108" t="s">
        <v>136</v>
      </c>
      <c r="J74" s="108"/>
      <c r="K74" s="87"/>
      <c r="L74" s="87"/>
      <c r="M74" s="87"/>
      <c r="N74" s="87"/>
      <c r="O74" s="87"/>
      <c r="P74" s="87"/>
      <c r="Q74" s="87"/>
      <c r="R74" s="87"/>
      <c r="S74" s="87"/>
      <c r="T74" s="87"/>
      <c r="U74" s="310">
        <f>0.95^$F74*(1-0.95)/(1-0.95^$T$72)*($F74&lt;$T$72)</f>
        <v>0.26955086087806213</v>
      </c>
      <c r="V74" s="309">
        <f t="shared" si="4"/>
        <v>0.26955086087806213</v>
      </c>
      <c r="W74" s="309">
        <f t="shared" si="4"/>
        <v>0.26955086087806213</v>
      </c>
      <c r="X74" s="308">
        <f t="shared" si="4"/>
        <v>0.26955086087806213</v>
      </c>
      <c r="Y74" s="308">
        <f t="shared" si="4"/>
        <v>0.26955086087806213</v>
      </c>
      <c r="Z74" s="308">
        <f t="shared" si="4"/>
        <v>0.26955086087806213</v>
      </c>
      <c r="AA74" s="308">
        <f t="shared" si="4"/>
        <v>0.26955086087806213</v>
      </c>
      <c r="AB74" s="308">
        <f t="shared" si="4"/>
        <v>0.26955086087806213</v>
      </c>
      <c r="AC74" s="87"/>
      <c r="AD74" s="87"/>
      <c r="AE74" s="87"/>
      <c r="AF74" s="109">
        <v>1</v>
      </c>
      <c r="AG74" s="109">
        <v>1</v>
      </c>
      <c r="AH74" s="84"/>
      <c r="AI74" s="66"/>
      <c r="AJ74" s="54"/>
      <c r="AK74" s="54"/>
      <c r="AL74" s="54"/>
    </row>
    <row r="75" spans="1:38" outlineLevel="2" x14ac:dyDescent="0.25">
      <c r="A75" s="54"/>
      <c r="B75" s="63"/>
      <c r="C75" s="56">
        <f t="shared" si="0"/>
        <v>3</v>
      </c>
      <c r="D75" s="84"/>
      <c r="E75" s="79"/>
      <c r="F75" s="79">
        <v>1</v>
      </c>
      <c r="G75" s="84"/>
      <c r="H75" s="87" t="s">
        <v>589</v>
      </c>
      <c r="I75" s="108" t="s">
        <v>136</v>
      </c>
      <c r="J75" s="108"/>
      <c r="K75" s="87"/>
      <c r="L75" s="87"/>
      <c r="M75" s="87"/>
      <c r="N75" s="87"/>
      <c r="O75" s="87"/>
      <c r="P75" s="87"/>
      <c r="Q75" s="87"/>
      <c r="R75" s="87"/>
      <c r="S75" s="87"/>
      <c r="T75" s="87"/>
      <c r="U75" s="310">
        <f t="shared" ref="U75:U80" si="5">0.95^$F75*(1-0.95)/(1-0.95^$T$72)*($F75&lt;$T$72)</f>
        <v>0.25607331783415904</v>
      </c>
      <c r="V75" s="309">
        <f t="shared" si="4"/>
        <v>0.25607331783415904</v>
      </c>
      <c r="W75" s="309">
        <f t="shared" si="4"/>
        <v>0.25607331783415904</v>
      </c>
      <c r="X75" s="308">
        <f t="shared" si="4"/>
        <v>0.25607331783415904</v>
      </c>
      <c r="Y75" s="308">
        <f t="shared" si="4"/>
        <v>0.25607331783415904</v>
      </c>
      <c r="Z75" s="308">
        <f t="shared" si="4"/>
        <v>0.25607331783415904</v>
      </c>
      <c r="AA75" s="308">
        <f t="shared" si="4"/>
        <v>0.25607331783415904</v>
      </c>
      <c r="AB75" s="308">
        <f t="shared" si="4"/>
        <v>0.25607331783415904</v>
      </c>
      <c r="AC75" s="87"/>
      <c r="AD75" s="87"/>
      <c r="AE75" s="87"/>
      <c r="AF75" s="109">
        <v>1</v>
      </c>
      <c r="AG75" s="109">
        <v>1</v>
      </c>
      <c r="AH75" s="84"/>
      <c r="AI75" s="66"/>
      <c r="AJ75" s="54"/>
      <c r="AK75" s="54"/>
      <c r="AL75" s="54"/>
    </row>
    <row r="76" spans="1:38" outlineLevel="2" x14ac:dyDescent="0.25">
      <c r="A76" s="54"/>
      <c r="B76" s="63"/>
      <c r="C76" s="56">
        <f t="shared" si="0"/>
        <v>3</v>
      </c>
      <c r="D76" s="84"/>
      <c r="E76" s="79"/>
      <c r="F76" s="79">
        <v>2</v>
      </c>
      <c r="G76" s="84"/>
      <c r="H76" s="87" t="s">
        <v>590</v>
      </c>
      <c r="I76" s="108" t="s">
        <v>136</v>
      </c>
      <c r="J76" s="108"/>
      <c r="K76" s="87"/>
      <c r="L76" s="87"/>
      <c r="M76" s="87"/>
      <c r="N76" s="87"/>
      <c r="O76" s="87"/>
      <c r="P76" s="87"/>
      <c r="Q76" s="87"/>
      <c r="R76" s="87"/>
      <c r="S76" s="87"/>
      <c r="T76" s="87"/>
      <c r="U76" s="310">
        <f t="shared" si="5"/>
        <v>0.24326965194245109</v>
      </c>
      <c r="V76" s="309">
        <f t="shared" si="4"/>
        <v>0.24326965194245109</v>
      </c>
      <c r="W76" s="309">
        <f t="shared" si="4"/>
        <v>0.24326965194245109</v>
      </c>
      <c r="X76" s="308">
        <f t="shared" si="4"/>
        <v>0.24326965194245109</v>
      </c>
      <c r="Y76" s="308">
        <f t="shared" si="4"/>
        <v>0.24326965194245109</v>
      </c>
      <c r="Z76" s="308">
        <f t="shared" si="4"/>
        <v>0.24326965194245109</v>
      </c>
      <c r="AA76" s="308">
        <f t="shared" si="4"/>
        <v>0.24326965194245109</v>
      </c>
      <c r="AB76" s="308">
        <f t="shared" si="4"/>
        <v>0.24326965194245109</v>
      </c>
      <c r="AC76" s="87"/>
      <c r="AD76" s="87"/>
      <c r="AE76" s="87"/>
      <c r="AF76" s="109">
        <v>1</v>
      </c>
      <c r="AG76" s="109">
        <v>1</v>
      </c>
      <c r="AH76" s="84"/>
      <c r="AI76" s="66"/>
      <c r="AJ76" s="54"/>
      <c r="AK76" s="54"/>
      <c r="AL76" s="54"/>
    </row>
    <row r="77" spans="1:38" outlineLevel="2" x14ac:dyDescent="0.25">
      <c r="A77" s="54"/>
      <c r="B77" s="63"/>
      <c r="C77" s="56">
        <f t="shared" si="0"/>
        <v>3</v>
      </c>
      <c r="D77" s="84"/>
      <c r="E77" s="79"/>
      <c r="F77" s="79">
        <v>3</v>
      </c>
      <c r="G77" s="84"/>
      <c r="H77" s="87" t="s">
        <v>591</v>
      </c>
      <c r="I77" s="108" t="s">
        <v>136</v>
      </c>
      <c r="J77" s="108"/>
      <c r="K77" s="87"/>
      <c r="L77" s="87"/>
      <c r="M77" s="87"/>
      <c r="N77" s="87"/>
      <c r="O77" s="87"/>
      <c r="P77" s="87"/>
      <c r="Q77" s="87"/>
      <c r="R77" s="87"/>
      <c r="S77" s="87"/>
      <c r="T77" s="87"/>
      <c r="U77" s="310">
        <f t="shared" si="5"/>
        <v>0.23110616934532852</v>
      </c>
      <c r="V77" s="309">
        <f t="shared" si="4"/>
        <v>0.23110616934532852</v>
      </c>
      <c r="W77" s="309">
        <f t="shared" si="4"/>
        <v>0.23110616934532852</v>
      </c>
      <c r="X77" s="308">
        <f t="shared" si="4"/>
        <v>0.23110616934532852</v>
      </c>
      <c r="Y77" s="308">
        <f t="shared" si="4"/>
        <v>0.23110616934532852</v>
      </c>
      <c r="Z77" s="308">
        <f t="shared" si="4"/>
        <v>0.23110616934532852</v>
      </c>
      <c r="AA77" s="308">
        <f t="shared" si="4"/>
        <v>0.23110616934532852</v>
      </c>
      <c r="AB77" s="308">
        <f t="shared" si="4"/>
        <v>0.23110616934532852</v>
      </c>
      <c r="AC77" s="87"/>
      <c r="AD77" s="87"/>
      <c r="AE77" s="87"/>
      <c r="AF77" s="109">
        <v>1</v>
      </c>
      <c r="AG77" s="109">
        <v>1</v>
      </c>
      <c r="AH77" s="84"/>
      <c r="AI77" s="66"/>
      <c r="AJ77" s="54"/>
      <c r="AK77" s="54"/>
      <c r="AL77" s="54"/>
    </row>
    <row r="78" spans="1:38" outlineLevel="2" x14ac:dyDescent="0.25">
      <c r="A78" s="54"/>
      <c r="B78" s="63"/>
      <c r="C78" s="56">
        <f t="shared" si="0"/>
        <v>3</v>
      </c>
      <c r="D78" s="84"/>
      <c r="E78" s="79"/>
      <c r="F78" s="79">
        <v>4</v>
      </c>
      <c r="G78" s="84"/>
      <c r="H78" s="87" t="s">
        <v>592</v>
      </c>
      <c r="I78" s="108" t="s">
        <v>136</v>
      </c>
      <c r="J78" s="108"/>
      <c r="K78" s="87"/>
      <c r="L78" s="87"/>
      <c r="M78" s="87"/>
      <c r="N78" s="87"/>
      <c r="O78" s="87"/>
      <c r="P78" s="87"/>
      <c r="Q78" s="87"/>
      <c r="R78" s="87"/>
      <c r="S78" s="87"/>
      <c r="T78" s="87"/>
      <c r="U78" s="310">
        <f t="shared" si="5"/>
        <v>0</v>
      </c>
      <c r="V78" s="309">
        <f t="shared" si="4"/>
        <v>0</v>
      </c>
      <c r="W78" s="309">
        <f t="shared" si="4"/>
        <v>0</v>
      </c>
      <c r="X78" s="308">
        <f t="shared" si="4"/>
        <v>0</v>
      </c>
      <c r="Y78" s="308">
        <f t="shared" si="4"/>
        <v>0</v>
      </c>
      <c r="Z78" s="308">
        <f t="shared" si="4"/>
        <v>0</v>
      </c>
      <c r="AA78" s="308">
        <f t="shared" si="4"/>
        <v>0</v>
      </c>
      <c r="AB78" s="308">
        <f t="shared" si="4"/>
        <v>0</v>
      </c>
      <c r="AC78" s="87"/>
      <c r="AD78" s="87"/>
      <c r="AE78" s="87"/>
      <c r="AF78" s="109">
        <v>1</v>
      </c>
      <c r="AG78" s="109">
        <v>1</v>
      </c>
      <c r="AH78" s="84"/>
      <c r="AI78" s="66"/>
      <c r="AJ78" s="54"/>
      <c r="AK78" s="54"/>
      <c r="AL78" s="54"/>
    </row>
    <row r="79" spans="1:38" outlineLevel="2" x14ac:dyDescent="0.25">
      <c r="A79" s="54"/>
      <c r="B79" s="63"/>
      <c r="C79" s="56">
        <f t="shared" si="0"/>
        <v>3</v>
      </c>
      <c r="D79" s="84"/>
      <c r="E79" s="79"/>
      <c r="F79" s="79">
        <v>5</v>
      </c>
      <c r="G79" s="84"/>
      <c r="H79" s="87" t="s">
        <v>593</v>
      </c>
      <c r="I79" s="108" t="s">
        <v>136</v>
      </c>
      <c r="J79" s="108"/>
      <c r="K79" s="87"/>
      <c r="L79" s="87"/>
      <c r="M79" s="87"/>
      <c r="N79" s="87"/>
      <c r="O79" s="87"/>
      <c r="P79" s="87"/>
      <c r="Q79" s="87"/>
      <c r="R79" s="87"/>
      <c r="S79" s="87"/>
      <c r="T79" s="87"/>
      <c r="U79" s="310">
        <f t="shared" si="5"/>
        <v>0</v>
      </c>
      <c r="V79" s="309">
        <f t="shared" si="4"/>
        <v>0</v>
      </c>
      <c r="W79" s="309">
        <f t="shared" si="4"/>
        <v>0</v>
      </c>
      <c r="X79" s="308">
        <f t="shared" si="4"/>
        <v>0</v>
      </c>
      <c r="Y79" s="308">
        <f t="shared" si="4"/>
        <v>0</v>
      </c>
      <c r="Z79" s="308">
        <f t="shared" si="4"/>
        <v>0</v>
      </c>
      <c r="AA79" s="308">
        <f t="shared" si="4"/>
        <v>0</v>
      </c>
      <c r="AB79" s="308">
        <f t="shared" si="4"/>
        <v>0</v>
      </c>
      <c r="AC79" s="87"/>
      <c r="AD79" s="87"/>
      <c r="AE79" s="87"/>
      <c r="AF79" s="109">
        <v>1</v>
      </c>
      <c r="AG79" s="109">
        <v>1</v>
      </c>
      <c r="AH79" s="84"/>
      <c r="AI79" s="66"/>
      <c r="AJ79" s="54"/>
      <c r="AK79" s="54"/>
      <c r="AL79" s="54"/>
    </row>
    <row r="80" spans="1:38" outlineLevel="2" x14ac:dyDescent="0.25">
      <c r="A80" s="54"/>
      <c r="B80" s="63"/>
      <c r="C80" s="56">
        <f t="shared" si="0"/>
        <v>3</v>
      </c>
      <c r="D80" s="84"/>
      <c r="E80" s="79"/>
      <c r="F80" s="79">
        <v>6</v>
      </c>
      <c r="G80" s="84"/>
      <c r="H80" s="87" t="s">
        <v>594</v>
      </c>
      <c r="I80" s="108" t="s">
        <v>136</v>
      </c>
      <c r="J80" s="108"/>
      <c r="K80" s="87"/>
      <c r="L80" s="87"/>
      <c r="M80" s="87"/>
      <c r="N80" s="87"/>
      <c r="O80" s="87"/>
      <c r="P80" s="87"/>
      <c r="Q80" s="87"/>
      <c r="R80" s="87"/>
      <c r="S80" s="87"/>
      <c r="T80" s="87"/>
      <c r="U80" s="310">
        <f t="shared" si="5"/>
        <v>0</v>
      </c>
      <c r="V80" s="309">
        <f t="shared" si="4"/>
        <v>0</v>
      </c>
      <c r="W80" s="309">
        <f t="shared" si="4"/>
        <v>0</v>
      </c>
      <c r="X80" s="308">
        <f t="shared" si="4"/>
        <v>0</v>
      </c>
      <c r="Y80" s="308">
        <f t="shared" si="4"/>
        <v>0</v>
      </c>
      <c r="Z80" s="308">
        <f t="shared" si="4"/>
        <v>0</v>
      </c>
      <c r="AA80" s="308">
        <f t="shared" si="4"/>
        <v>0</v>
      </c>
      <c r="AB80" s="308">
        <f t="shared" si="4"/>
        <v>0</v>
      </c>
      <c r="AC80" s="87"/>
      <c r="AD80" s="87"/>
      <c r="AE80" s="87"/>
      <c r="AF80" s="109">
        <v>1</v>
      </c>
      <c r="AG80" s="109">
        <v>1</v>
      </c>
      <c r="AH80" s="84"/>
      <c r="AI80" s="66"/>
      <c r="AJ80" s="54"/>
      <c r="AK80" s="54"/>
      <c r="AL80" s="54"/>
    </row>
    <row r="81" spans="1:38" outlineLevel="1" x14ac:dyDescent="0.25">
      <c r="A81" s="54"/>
      <c r="B81" s="63"/>
      <c r="C81" s="56">
        <f t="shared" si="0"/>
        <v>3</v>
      </c>
      <c r="D81" s="84"/>
      <c r="E81" s="79"/>
      <c r="F81" s="79"/>
      <c r="G81" s="84"/>
      <c r="H81" s="304" t="s">
        <v>595</v>
      </c>
      <c r="I81" s="108"/>
      <c r="J81" s="108"/>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596</v>
      </c>
      <c r="I82" s="108" t="s">
        <v>597</v>
      </c>
      <c r="J82" s="108"/>
      <c r="K82" s="87"/>
      <c r="L82" s="87"/>
      <c r="M82" s="87"/>
      <c r="N82" s="87"/>
      <c r="O82" s="87"/>
      <c r="P82" s="87"/>
      <c r="Q82" s="87"/>
      <c r="R82" s="87"/>
      <c r="S82" s="87"/>
      <c r="T82" s="87"/>
      <c r="U82" s="109">
        <v>15</v>
      </c>
      <c r="V82" s="109">
        <v>15</v>
      </c>
      <c r="W82" s="109">
        <v>15</v>
      </c>
      <c r="X82" s="109">
        <v>15</v>
      </c>
      <c r="Y82" s="109">
        <v>15</v>
      </c>
      <c r="Z82" s="109">
        <v>15</v>
      </c>
      <c r="AA82" s="109">
        <v>15</v>
      </c>
      <c r="AB82" s="109">
        <v>15</v>
      </c>
      <c r="AC82" s="87"/>
      <c r="AD82" s="87"/>
      <c r="AE82" s="87"/>
      <c r="AF82" s="109">
        <v>1</v>
      </c>
      <c r="AG82" s="109">
        <v>1</v>
      </c>
      <c r="AH82" s="84"/>
      <c r="AI82" s="66"/>
      <c r="AJ82" s="54"/>
      <c r="AK82" s="54"/>
      <c r="AL82" s="54"/>
    </row>
    <row r="83" spans="1:38" outlineLevel="2" x14ac:dyDescent="0.25">
      <c r="A83" s="54"/>
      <c r="B83" s="63"/>
      <c r="C83" s="56">
        <f t="shared" si="0"/>
        <v>3</v>
      </c>
      <c r="D83" s="84"/>
      <c r="E83" s="79"/>
      <c r="F83" s="79"/>
      <c r="G83" s="84"/>
      <c r="H83" s="87" t="s">
        <v>598</v>
      </c>
      <c r="I83" s="108"/>
      <c r="J83" s="108"/>
      <c r="K83" s="87"/>
      <c r="L83" s="87"/>
      <c r="M83" s="87"/>
      <c r="N83" s="87"/>
      <c r="O83" s="87"/>
      <c r="P83" s="87"/>
      <c r="Q83" s="87"/>
      <c r="R83" s="87"/>
      <c r="S83" s="87"/>
      <c r="T83" s="87"/>
      <c r="U83" s="311">
        <f t="shared" ref="U83:AB84" si="6">U82</f>
        <v>15</v>
      </c>
      <c r="V83" s="311">
        <f t="shared" si="6"/>
        <v>15</v>
      </c>
      <c r="W83" s="311">
        <f t="shared" si="6"/>
        <v>15</v>
      </c>
      <c r="X83" s="311">
        <f t="shared" si="6"/>
        <v>15</v>
      </c>
      <c r="Y83" s="311">
        <f t="shared" si="6"/>
        <v>15</v>
      </c>
      <c r="Z83" s="311">
        <f t="shared" si="6"/>
        <v>15</v>
      </c>
      <c r="AA83" s="311">
        <f t="shared" si="6"/>
        <v>15</v>
      </c>
      <c r="AB83" s="311">
        <f t="shared" si="6"/>
        <v>15</v>
      </c>
      <c r="AC83" s="87"/>
      <c r="AD83" s="87"/>
      <c r="AE83" s="87"/>
      <c r="AF83" s="109">
        <v>1</v>
      </c>
      <c r="AG83" s="109">
        <v>1</v>
      </c>
      <c r="AH83" s="84"/>
      <c r="AI83" s="66"/>
      <c r="AJ83" s="54"/>
      <c r="AK83" s="54"/>
      <c r="AL83" s="54"/>
    </row>
    <row r="84" spans="1:38" outlineLevel="2" x14ac:dyDescent="0.25">
      <c r="A84" s="54"/>
      <c r="B84" s="63"/>
      <c r="C84" s="56">
        <f t="shared" si="0"/>
        <v>3</v>
      </c>
      <c r="D84" s="84"/>
      <c r="E84" s="79"/>
      <c r="F84" s="79"/>
      <c r="G84" s="84"/>
      <c r="H84" s="87" t="s">
        <v>599</v>
      </c>
      <c r="I84" s="108"/>
      <c r="J84" s="108"/>
      <c r="K84" s="87"/>
      <c r="L84" s="87"/>
      <c r="M84" s="87"/>
      <c r="N84" s="87"/>
      <c r="O84" s="87"/>
      <c r="P84" s="87"/>
      <c r="Q84" s="87"/>
      <c r="R84" s="87"/>
      <c r="S84" s="87"/>
      <c r="T84" s="87"/>
      <c r="U84" s="311">
        <f t="shared" si="6"/>
        <v>15</v>
      </c>
      <c r="V84" s="311">
        <f t="shared" si="6"/>
        <v>15</v>
      </c>
      <c r="W84" s="311">
        <f t="shared" si="6"/>
        <v>15</v>
      </c>
      <c r="X84" s="311">
        <f t="shared" si="6"/>
        <v>15</v>
      </c>
      <c r="Y84" s="311">
        <f t="shared" si="6"/>
        <v>15</v>
      </c>
      <c r="Z84" s="311">
        <f t="shared" si="6"/>
        <v>15</v>
      </c>
      <c r="AA84" s="311">
        <f t="shared" si="6"/>
        <v>15</v>
      </c>
      <c r="AB84" s="311">
        <f t="shared" si="6"/>
        <v>15</v>
      </c>
      <c r="AC84" s="87"/>
      <c r="AD84" s="87"/>
      <c r="AE84" s="87"/>
      <c r="AF84" s="109">
        <v>1</v>
      </c>
      <c r="AG84" s="109">
        <v>1</v>
      </c>
      <c r="AH84" s="84"/>
      <c r="AI84" s="66"/>
      <c r="AJ84" s="54"/>
      <c r="AK84" s="54"/>
      <c r="AL84" s="54"/>
    </row>
    <row r="85" spans="1:38" outlineLevel="2" x14ac:dyDescent="0.25">
      <c r="A85" s="54"/>
      <c r="B85" s="63"/>
      <c r="C85" s="56">
        <f t="shared" si="0"/>
        <v>3</v>
      </c>
      <c r="D85" s="84"/>
      <c r="E85" s="79"/>
      <c r="F85" s="79"/>
      <c r="G85" s="84"/>
      <c r="H85" s="87" t="s">
        <v>600</v>
      </c>
      <c r="I85" s="108"/>
      <c r="J85" s="108"/>
      <c r="K85" s="87"/>
      <c r="L85" s="87"/>
      <c r="M85" s="87"/>
      <c r="N85" s="87"/>
      <c r="O85" s="87"/>
      <c r="P85" s="87"/>
      <c r="Q85" s="87"/>
      <c r="R85" s="87"/>
      <c r="S85" s="87"/>
      <c r="T85" s="87"/>
      <c r="U85" s="109">
        <v>24</v>
      </c>
      <c r="V85" s="109">
        <v>24</v>
      </c>
      <c r="W85" s="109">
        <v>24</v>
      </c>
      <c r="X85" s="109">
        <v>24</v>
      </c>
      <c r="Y85" s="109">
        <v>24</v>
      </c>
      <c r="Z85" s="109">
        <v>24</v>
      </c>
      <c r="AA85" s="109">
        <v>24</v>
      </c>
      <c r="AB85" s="109">
        <v>24</v>
      </c>
      <c r="AC85" s="87"/>
      <c r="AD85" s="87"/>
      <c r="AE85" s="87"/>
      <c r="AF85" s="109">
        <v>1</v>
      </c>
      <c r="AG85" s="109">
        <v>1</v>
      </c>
      <c r="AH85" s="84"/>
      <c r="AI85" s="66"/>
      <c r="AJ85" s="54"/>
      <c r="AK85" s="54"/>
      <c r="AL85" s="54"/>
    </row>
    <row r="86" spans="1:38" outlineLevel="2" x14ac:dyDescent="0.25">
      <c r="A86" s="54"/>
      <c r="B86" s="63"/>
      <c r="C86" s="56">
        <f t="shared" si="0"/>
        <v>3</v>
      </c>
      <c r="D86" s="84"/>
      <c r="E86" s="79"/>
      <c r="F86" s="79"/>
      <c r="G86" s="84"/>
      <c r="H86" s="87" t="s">
        <v>601</v>
      </c>
      <c r="I86" s="108"/>
      <c r="J86" s="108"/>
      <c r="K86" s="87"/>
      <c r="L86" s="87"/>
      <c r="M86" s="87"/>
      <c r="N86" s="87"/>
      <c r="O86" s="87"/>
      <c r="P86" s="87"/>
      <c r="Q86" s="87"/>
      <c r="R86" s="87"/>
      <c r="S86" s="87"/>
      <c r="T86" s="87"/>
      <c r="U86" s="109">
        <v>120</v>
      </c>
      <c r="V86" s="109">
        <v>120</v>
      </c>
      <c r="W86" s="109">
        <v>120</v>
      </c>
      <c r="X86" s="109">
        <v>120</v>
      </c>
      <c r="Y86" s="109">
        <v>120</v>
      </c>
      <c r="Z86" s="109">
        <v>120</v>
      </c>
      <c r="AA86" s="109">
        <v>120</v>
      </c>
      <c r="AB86" s="109">
        <v>120</v>
      </c>
      <c r="AC86" s="87"/>
      <c r="AD86" s="87"/>
      <c r="AE86" s="87"/>
      <c r="AF86" s="109">
        <v>1</v>
      </c>
      <c r="AG86" s="109">
        <v>1</v>
      </c>
      <c r="AH86" s="84"/>
      <c r="AI86" s="66"/>
      <c r="AJ86" s="54"/>
      <c r="AK86" s="54"/>
      <c r="AL86" s="54"/>
    </row>
    <row r="87" spans="1:38" outlineLevel="2" x14ac:dyDescent="0.25">
      <c r="A87" s="54"/>
      <c r="B87" s="63"/>
      <c r="C87" s="56">
        <f t="shared" si="0"/>
        <v>3</v>
      </c>
      <c r="D87" s="84"/>
      <c r="E87" s="79"/>
      <c r="F87" s="79"/>
      <c r="G87" s="84"/>
      <c r="H87" s="87" t="s">
        <v>602</v>
      </c>
      <c r="I87" s="108"/>
      <c r="J87" s="108"/>
      <c r="K87" s="87"/>
      <c r="L87" s="87"/>
      <c r="M87" s="87"/>
      <c r="N87" s="87"/>
      <c r="O87" s="87"/>
      <c r="P87" s="87"/>
      <c r="Q87" s="87"/>
      <c r="R87" s="87"/>
      <c r="S87" s="87"/>
      <c r="T87" s="87"/>
      <c r="U87" s="109">
        <v>60</v>
      </c>
      <c r="V87" s="109">
        <v>60</v>
      </c>
      <c r="W87" s="109">
        <v>60</v>
      </c>
      <c r="X87" s="109">
        <v>60</v>
      </c>
      <c r="Y87" s="109">
        <v>60</v>
      </c>
      <c r="Z87" s="109">
        <v>60</v>
      </c>
      <c r="AA87" s="109">
        <v>60</v>
      </c>
      <c r="AB87" s="109">
        <v>60</v>
      </c>
      <c r="AC87" s="87"/>
      <c r="AD87" s="87"/>
      <c r="AE87" s="87"/>
      <c r="AF87" s="109">
        <v>1</v>
      </c>
      <c r="AG87" s="109">
        <v>1</v>
      </c>
      <c r="AH87" s="84"/>
      <c r="AI87" s="66"/>
      <c r="AJ87" s="54"/>
      <c r="AK87" s="54"/>
      <c r="AL87" s="54"/>
    </row>
    <row r="88" spans="1:38" outlineLevel="2" x14ac:dyDescent="0.25">
      <c r="A88" s="54"/>
      <c r="B88" s="63"/>
      <c r="C88" s="56">
        <f t="shared" si="0"/>
        <v>3</v>
      </c>
      <c r="D88" s="84"/>
      <c r="E88" s="79"/>
      <c r="F88" s="79"/>
      <c r="G88" s="84"/>
      <c r="H88" s="87" t="s">
        <v>603</v>
      </c>
      <c r="I88" s="108"/>
      <c r="J88" s="108"/>
      <c r="K88" s="87"/>
      <c r="L88" s="87"/>
      <c r="M88" s="87"/>
      <c r="N88" s="87"/>
      <c r="O88" s="87"/>
      <c r="P88" s="87"/>
      <c r="Q88" s="87"/>
      <c r="R88" s="87"/>
      <c r="S88" s="87"/>
      <c r="T88" s="87"/>
      <c r="U88" s="109">
        <v>120</v>
      </c>
      <c r="V88" s="109">
        <v>120</v>
      </c>
      <c r="W88" s="109">
        <v>120</v>
      </c>
      <c r="X88" s="109">
        <v>120</v>
      </c>
      <c r="Y88" s="109">
        <v>120</v>
      </c>
      <c r="Z88" s="109">
        <v>120</v>
      </c>
      <c r="AA88" s="109">
        <v>120</v>
      </c>
      <c r="AB88" s="109">
        <v>120</v>
      </c>
      <c r="AC88" s="87"/>
      <c r="AD88" s="87"/>
      <c r="AE88" s="87"/>
      <c r="AF88" s="109">
        <v>1</v>
      </c>
      <c r="AG88" s="109">
        <v>1</v>
      </c>
      <c r="AH88" s="84"/>
      <c r="AI88" s="66"/>
      <c r="AJ88" s="54"/>
      <c r="AK88" s="54"/>
      <c r="AL88" s="54"/>
    </row>
    <row r="89" spans="1:38" outlineLevel="2" x14ac:dyDescent="0.25">
      <c r="A89" s="54"/>
      <c r="B89" s="63"/>
      <c r="C89" s="56">
        <f t="shared" si="0"/>
        <v>3</v>
      </c>
      <c r="D89" s="84"/>
      <c r="E89" s="79"/>
      <c r="F89" s="79"/>
      <c r="G89" s="84"/>
      <c r="H89" s="87" t="s">
        <v>604</v>
      </c>
      <c r="I89" s="108"/>
      <c r="J89" s="108"/>
      <c r="K89" s="87"/>
      <c r="L89" s="87"/>
      <c r="M89" s="87"/>
      <c r="N89" s="87"/>
      <c r="O89" s="87"/>
      <c r="P89" s="87"/>
      <c r="Q89" s="87"/>
      <c r="R89" s="87"/>
      <c r="S89" s="87"/>
      <c r="T89" s="87"/>
      <c r="U89" s="109">
        <v>120</v>
      </c>
      <c r="V89" s="109">
        <v>120</v>
      </c>
      <c r="W89" s="109">
        <v>120</v>
      </c>
      <c r="X89" s="109">
        <v>120</v>
      </c>
      <c r="Y89" s="109">
        <v>120</v>
      </c>
      <c r="Z89" s="109">
        <v>120</v>
      </c>
      <c r="AA89" s="109">
        <v>120</v>
      </c>
      <c r="AB89" s="109">
        <v>120</v>
      </c>
      <c r="AC89" s="87"/>
      <c r="AD89" s="87"/>
      <c r="AE89" s="87"/>
      <c r="AF89" s="109">
        <v>1</v>
      </c>
      <c r="AG89" s="109">
        <v>1</v>
      </c>
      <c r="AH89" s="84"/>
      <c r="AI89" s="66"/>
      <c r="AJ89" s="54"/>
      <c r="AK89" s="54"/>
      <c r="AL89" s="54"/>
    </row>
    <row r="90" spans="1:38" outlineLevel="2" x14ac:dyDescent="0.25">
      <c r="A90" s="54"/>
      <c r="B90" s="63"/>
      <c r="C90" s="56">
        <f t="shared" si="0"/>
        <v>3</v>
      </c>
      <c r="D90" s="84"/>
      <c r="E90" s="79"/>
      <c r="F90" s="79"/>
      <c r="G90" s="84"/>
      <c r="H90" s="87" t="s">
        <v>605</v>
      </c>
      <c r="I90" s="108" t="s">
        <v>136</v>
      </c>
      <c r="J90" s="108"/>
      <c r="K90" s="87"/>
      <c r="L90" s="87"/>
      <c r="M90" s="87"/>
      <c r="N90" s="87"/>
      <c r="O90" s="87"/>
      <c r="P90" s="87"/>
      <c r="Q90" s="87"/>
      <c r="R90" s="87"/>
      <c r="S90" s="87"/>
      <c r="T90" s="87"/>
      <c r="U90" s="312">
        <v>-2.5000000000000001E-2</v>
      </c>
      <c r="V90" s="312">
        <v>-2.5000000000000001E-2</v>
      </c>
      <c r="W90" s="312">
        <v>-2.5000000000000001E-2</v>
      </c>
      <c r="X90" s="312">
        <v>0</v>
      </c>
      <c r="Y90" s="312">
        <v>0</v>
      </c>
      <c r="Z90" s="312">
        <v>0</v>
      </c>
      <c r="AA90" s="312">
        <v>-5.0000000000000001E-3</v>
      </c>
      <c r="AB90" s="312">
        <v>1.4999999999999999E-2</v>
      </c>
      <c r="AC90" s="87"/>
      <c r="AD90" s="109" t="s">
        <v>606</v>
      </c>
      <c r="AE90" s="87"/>
      <c r="AF90" s="109">
        <v>1</v>
      </c>
      <c r="AG90" s="109">
        <v>1</v>
      </c>
      <c r="AH90" s="84"/>
      <c r="AI90" s="66"/>
      <c r="AJ90" s="54"/>
      <c r="AK90" s="54"/>
      <c r="AL90" s="54"/>
    </row>
    <row r="91" spans="1:38" outlineLevel="2" x14ac:dyDescent="0.25">
      <c r="A91" s="54"/>
      <c r="B91" s="63"/>
      <c r="C91" s="56">
        <f t="shared" si="0"/>
        <v>3</v>
      </c>
      <c r="D91" s="84"/>
      <c r="E91" s="79"/>
      <c r="F91" s="79"/>
      <c r="G91" s="84"/>
      <c r="H91" s="87"/>
      <c r="I91" s="108"/>
      <c r="J91" s="108"/>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4" t="s">
        <v>607</v>
      </c>
      <c r="I92" s="108"/>
      <c r="J92" s="108"/>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9" t="s">
        <v>608</v>
      </c>
      <c r="I93" s="108"/>
      <c r="J93" s="108"/>
      <c r="K93" s="87"/>
      <c r="L93" s="87"/>
      <c r="M93" s="87"/>
      <c r="N93" s="87"/>
      <c r="O93" s="87"/>
      <c r="P93" s="87"/>
      <c r="Q93" s="87"/>
      <c r="R93" s="87"/>
      <c r="S93" s="87"/>
      <c r="T93" s="87"/>
      <c r="U93" s="109">
        <v>20</v>
      </c>
      <c r="V93" s="109">
        <v>24</v>
      </c>
      <c r="W93" s="109">
        <v>26</v>
      </c>
      <c r="X93" s="313">
        <f t="shared" ref="X93:AB96" si="7">W93</f>
        <v>26</v>
      </c>
      <c r="Y93" s="313">
        <f t="shared" si="7"/>
        <v>26</v>
      </c>
      <c r="Z93" s="313">
        <f t="shared" si="7"/>
        <v>26</v>
      </c>
      <c r="AA93" s="313">
        <f t="shared" si="7"/>
        <v>26</v>
      </c>
      <c r="AB93" s="313">
        <f t="shared" si="7"/>
        <v>26</v>
      </c>
      <c r="AC93" s="87"/>
      <c r="AD93" s="87"/>
      <c r="AE93" s="87"/>
      <c r="AF93" s="109">
        <v>1</v>
      </c>
      <c r="AG93" s="109">
        <v>1</v>
      </c>
      <c r="AH93" s="84"/>
      <c r="AI93" s="66"/>
      <c r="AJ93" s="54"/>
      <c r="AK93" s="54"/>
      <c r="AL93" s="54"/>
    </row>
    <row r="94" spans="1:38" outlineLevel="2" x14ac:dyDescent="0.25">
      <c r="A94" s="54"/>
      <c r="B94" s="63"/>
      <c r="C94" s="56">
        <f t="shared" si="0"/>
        <v>3</v>
      </c>
      <c r="D94" s="84"/>
      <c r="E94" s="79"/>
      <c r="F94" s="79"/>
      <c r="G94" s="84"/>
      <c r="H94" s="149" t="s">
        <v>609</v>
      </c>
      <c r="I94" s="108"/>
      <c r="J94" s="108"/>
      <c r="K94" s="87"/>
      <c r="L94" s="87"/>
      <c r="M94" s="87"/>
      <c r="N94" s="87"/>
      <c r="O94" s="87"/>
      <c r="P94" s="87"/>
      <c r="Q94" s="87"/>
      <c r="R94" s="87"/>
      <c r="S94" s="87"/>
      <c r="T94" s="87"/>
      <c r="U94" s="109">
        <v>0.6</v>
      </c>
      <c r="V94" s="109">
        <v>0.6</v>
      </c>
      <c r="W94" s="109">
        <v>0.6</v>
      </c>
      <c r="X94" s="313">
        <f t="shared" si="7"/>
        <v>0.6</v>
      </c>
      <c r="Y94" s="313">
        <f t="shared" si="7"/>
        <v>0.6</v>
      </c>
      <c r="Z94" s="313">
        <f t="shared" si="7"/>
        <v>0.6</v>
      </c>
      <c r="AA94" s="313">
        <f t="shared" si="7"/>
        <v>0.6</v>
      </c>
      <c r="AB94" s="313">
        <f t="shared" si="7"/>
        <v>0.6</v>
      </c>
      <c r="AC94" s="87"/>
      <c r="AD94" s="87"/>
      <c r="AE94" s="87"/>
      <c r="AF94" s="109">
        <v>1</v>
      </c>
      <c r="AG94" s="109">
        <v>1</v>
      </c>
      <c r="AH94" s="84"/>
      <c r="AI94" s="66"/>
      <c r="AJ94" s="54"/>
      <c r="AK94" s="54"/>
      <c r="AL94" s="54"/>
    </row>
    <row r="95" spans="1:38" outlineLevel="2" x14ac:dyDescent="0.25">
      <c r="A95" s="54"/>
      <c r="B95" s="63"/>
      <c r="C95" s="56">
        <f t="shared" si="0"/>
        <v>3</v>
      </c>
      <c r="D95" s="84"/>
      <c r="E95" s="79"/>
      <c r="F95" s="79"/>
      <c r="G95" s="84"/>
      <c r="H95" s="149" t="s">
        <v>610</v>
      </c>
      <c r="I95" s="108"/>
      <c r="J95" s="108"/>
      <c r="K95" s="87"/>
      <c r="L95" s="87"/>
      <c r="M95" s="87"/>
      <c r="N95" s="87"/>
      <c r="O95" s="87"/>
      <c r="P95" s="87"/>
      <c r="Q95" s="87"/>
      <c r="R95" s="87"/>
      <c r="S95" s="87"/>
      <c r="T95" s="87"/>
      <c r="U95" s="109">
        <v>17</v>
      </c>
      <c r="V95" s="109">
        <v>19</v>
      </c>
      <c r="W95" s="109">
        <v>19</v>
      </c>
      <c r="X95" s="313">
        <f t="shared" si="7"/>
        <v>19</v>
      </c>
      <c r="Y95" s="313">
        <f t="shared" si="7"/>
        <v>19</v>
      </c>
      <c r="Z95" s="313">
        <f t="shared" si="7"/>
        <v>19</v>
      </c>
      <c r="AA95" s="313">
        <f t="shared" si="7"/>
        <v>19</v>
      </c>
      <c r="AB95" s="313">
        <f t="shared" si="7"/>
        <v>19</v>
      </c>
      <c r="AC95" s="87"/>
      <c r="AD95" s="87"/>
      <c r="AE95" s="87"/>
      <c r="AF95" s="109">
        <v>1</v>
      </c>
      <c r="AG95" s="109">
        <v>1</v>
      </c>
      <c r="AH95" s="84"/>
      <c r="AI95" s="66"/>
      <c r="AJ95" s="54"/>
      <c r="AK95" s="54"/>
      <c r="AL95" s="54"/>
    </row>
    <row r="96" spans="1:38" outlineLevel="2" x14ac:dyDescent="0.25">
      <c r="A96" s="54"/>
      <c r="B96" s="63"/>
      <c r="C96" s="56">
        <f t="shared" si="0"/>
        <v>3</v>
      </c>
      <c r="D96" s="84"/>
      <c r="E96" s="79"/>
      <c r="F96" s="79"/>
      <c r="G96" s="84"/>
      <c r="H96" s="149" t="s">
        <v>611</v>
      </c>
      <c r="I96" s="108" t="s">
        <v>572</v>
      </c>
      <c r="J96" s="108"/>
      <c r="K96" s="87"/>
      <c r="L96" s="87"/>
      <c r="M96" s="87"/>
      <c r="N96" s="87"/>
      <c r="O96" s="87"/>
      <c r="P96" s="87"/>
      <c r="Q96" s="87"/>
      <c r="R96" s="87"/>
      <c r="S96" s="87"/>
      <c r="T96" s="87"/>
      <c r="U96" s="109">
        <v>2.5</v>
      </c>
      <c r="V96" s="109">
        <v>2.5</v>
      </c>
      <c r="W96" s="109">
        <v>2.5</v>
      </c>
      <c r="X96" s="313">
        <f t="shared" si="7"/>
        <v>2.5</v>
      </c>
      <c r="Y96" s="313">
        <f t="shared" si="7"/>
        <v>2.5</v>
      </c>
      <c r="Z96" s="313">
        <f t="shared" si="7"/>
        <v>2.5</v>
      </c>
      <c r="AA96" s="313">
        <f t="shared" si="7"/>
        <v>2.5</v>
      </c>
      <c r="AB96" s="313">
        <f t="shared" si="7"/>
        <v>2.5</v>
      </c>
      <c r="AC96" s="87"/>
      <c r="AD96" s="87"/>
      <c r="AE96" s="87"/>
      <c r="AF96" s="109">
        <v>1</v>
      </c>
      <c r="AG96" s="109">
        <v>1</v>
      </c>
      <c r="AH96" s="84"/>
      <c r="AI96" s="66"/>
      <c r="AJ96" s="54"/>
      <c r="AK96" s="54"/>
      <c r="AL96" s="54"/>
    </row>
    <row r="97" spans="1:38" outlineLevel="2" x14ac:dyDescent="0.25">
      <c r="A97" s="54"/>
      <c r="B97" s="63"/>
      <c r="C97" s="56">
        <f t="shared" si="0"/>
        <v>3</v>
      </c>
      <c r="D97" s="84"/>
      <c r="E97" s="79"/>
      <c r="F97" s="79"/>
      <c r="G97" s="84"/>
      <c r="H97" s="87"/>
      <c r="I97" s="108"/>
      <c r="J97" s="108"/>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25">
      <c r="A98" s="54"/>
      <c r="B98" s="63"/>
      <c r="C98" s="56">
        <f>INT($C$40)+1</f>
        <v>2</v>
      </c>
      <c r="D98" s="84"/>
      <c r="E98" s="79"/>
      <c r="F98" s="314" t="s">
        <v>612</v>
      </c>
      <c r="G98" s="84"/>
      <c r="H98" s="304" t="s">
        <v>613</v>
      </c>
      <c r="I98" s="108"/>
      <c r="J98" s="108"/>
      <c r="K98" s="87"/>
      <c r="L98" s="87"/>
      <c r="M98" s="87"/>
      <c r="N98" s="87"/>
      <c r="O98" s="87"/>
      <c r="P98" s="87"/>
      <c r="Q98" s="87"/>
      <c r="R98" s="87"/>
      <c r="S98" s="87"/>
      <c r="T98" s="87"/>
      <c r="U98" s="91">
        <v>8</v>
      </c>
      <c r="V98" s="87"/>
      <c r="W98" s="91">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614</v>
      </c>
      <c r="F99" s="79" t="s">
        <v>615</v>
      </c>
      <c r="G99" s="84"/>
      <c r="H99" s="87" t="s">
        <v>616</v>
      </c>
      <c r="I99" s="108"/>
      <c r="J99" s="108"/>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25">
      <c r="A100" s="54"/>
      <c r="B100" s="63"/>
      <c r="C100" s="56">
        <f>INT($C$40)+2</f>
        <v>3</v>
      </c>
      <c r="D100" s="84"/>
      <c r="E100" s="79"/>
      <c r="F100" s="79" t="s">
        <v>617</v>
      </c>
      <c r="G100" s="84"/>
      <c r="H100" s="87" t="s">
        <v>618</v>
      </c>
      <c r="I100" s="108" t="s">
        <v>619</v>
      </c>
      <c r="J100" s="108"/>
      <c r="K100" s="109">
        <v>1.5699999999999999E-2</v>
      </c>
      <c r="L100" s="109">
        <v>1.5699999999999999E-2</v>
      </c>
      <c r="M100" s="109">
        <v>1.15E-2</v>
      </c>
      <c r="N100" s="109">
        <v>1.15E-2</v>
      </c>
      <c r="O100" s="109">
        <v>1.15E-2</v>
      </c>
      <c r="P100" s="109">
        <v>1.15E-2</v>
      </c>
      <c r="Q100" s="87"/>
      <c r="R100" s="87" t="s">
        <v>620</v>
      </c>
      <c r="S100" s="87" t="s">
        <v>620</v>
      </c>
      <c r="T100" s="87"/>
      <c r="U100" s="311">
        <f>INDEX($K100:$Q100,1,U$54)</f>
        <v>1.5699999999999999E-2</v>
      </c>
      <c r="V100" s="311">
        <f t="shared" ref="V100:AB104" si="8">INDEX($K100:$Q100,1,V$54)</f>
        <v>1.5699999999999999E-2</v>
      </c>
      <c r="W100" s="311">
        <f t="shared" si="8"/>
        <v>1.5699999999999999E-2</v>
      </c>
      <c r="X100" s="311">
        <f t="shared" si="8"/>
        <v>1.5699999999999999E-2</v>
      </c>
      <c r="Y100" s="311">
        <f t="shared" si="8"/>
        <v>1.5699999999999999E-2</v>
      </c>
      <c r="Z100" s="311">
        <f t="shared" si="8"/>
        <v>1.5699999999999999E-2</v>
      </c>
      <c r="AA100" s="311">
        <f t="shared" si="8"/>
        <v>1.5699999999999999E-2</v>
      </c>
      <c r="AB100" s="311">
        <f t="shared" si="8"/>
        <v>1.5699999999999999E-2</v>
      </c>
      <c r="AC100" s="87"/>
      <c r="AD100" s="87"/>
      <c r="AE100" s="87"/>
      <c r="AF100" s="109">
        <v>1</v>
      </c>
      <c r="AG100" s="109">
        <v>1</v>
      </c>
      <c r="AH100" s="84"/>
      <c r="AI100" s="66"/>
      <c r="AJ100" s="54"/>
      <c r="AK100" s="54"/>
      <c r="AL100" s="54"/>
    </row>
    <row r="101" spans="1:38" outlineLevel="2" x14ac:dyDescent="0.25">
      <c r="A101" s="54"/>
      <c r="B101" s="63"/>
      <c r="C101" s="56">
        <f>INT($C$40)+2</f>
        <v>3</v>
      </c>
      <c r="D101" s="84"/>
      <c r="E101" s="79"/>
      <c r="F101" s="79" t="s">
        <v>621</v>
      </c>
      <c r="G101" s="84"/>
      <c r="H101" s="87" t="s">
        <v>622</v>
      </c>
      <c r="I101" s="108" t="s">
        <v>623</v>
      </c>
      <c r="J101" s="108"/>
      <c r="K101" s="109">
        <v>0.27</v>
      </c>
      <c r="L101" s="109">
        <v>0.27</v>
      </c>
      <c r="M101" s="109">
        <v>0.27</v>
      </c>
      <c r="N101" s="109">
        <v>0.27</v>
      </c>
      <c r="O101" s="109">
        <v>0.27</v>
      </c>
      <c r="P101" s="109">
        <v>0.27</v>
      </c>
      <c r="Q101" s="87"/>
      <c r="R101" s="87" t="s">
        <v>624</v>
      </c>
      <c r="S101" s="87" t="s">
        <v>624</v>
      </c>
      <c r="T101" s="87"/>
      <c r="U101" s="311">
        <f>INDEX($K101:$Q101,1,U$54)</f>
        <v>0.27</v>
      </c>
      <c r="V101" s="311">
        <f t="shared" si="8"/>
        <v>0.27</v>
      </c>
      <c r="W101" s="311">
        <f t="shared" si="8"/>
        <v>0.27</v>
      </c>
      <c r="X101" s="311">
        <f t="shared" si="8"/>
        <v>0.27</v>
      </c>
      <c r="Y101" s="311">
        <f t="shared" si="8"/>
        <v>0.27</v>
      </c>
      <c r="Z101" s="311">
        <f t="shared" si="8"/>
        <v>0.27</v>
      </c>
      <c r="AA101" s="311">
        <f t="shared" si="8"/>
        <v>0.27</v>
      </c>
      <c r="AB101" s="311">
        <f t="shared" si="8"/>
        <v>0.27</v>
      </c>
      <c r="AC101" s="87"/>
      <c r="AD101" s="87"/>
      <c r="AE101" s="87"/>
      <c r="AF101" s="109">
        <v>1</v>
      </c>
      <c r="AG101" s="109">
        <v>1</v>
      </c>
      <c r="AH101" s="84"/>
      <c r="AI101" s="66"/>
      <c r="AJ101" s="54"/>
      <c r="AK101" s="54"/>
      <c r="AL101" s="54"/>
    </row>
    <row r="102" spans="1:38" outlineLevel="2" x14ac:dyDescent="0.25">
      <c r="A102" s="54"/>
      <c r="B102" s="63"/>
      <c r="C102" s="56">
        <f>INT($C$40)+2</f>
        <v>3</v>
      </c>
      <c r="D102" s="84"/>
      <c r="E102" s="79"/>
      <c r="F102" s="79" t="s">
        <v>625</v>
      </c>
      <c r="G102" s="84"/>
      <c r="H102" s="315" t="s">
        <v>626</v>
      </c>
      <c r="I102" s="108" t="s">
        <v>623</v>
      </c>
      <c r="J102" s="108"/>
      <c r="K102" s="109">
        <v>0.4</v>
      </c>
      <c r="L102" s="109">
        <v>0.4</v>
      </c>
      <c r="M102" s="109">
        <v>0.4</v>
      </c>
      <c r="N102" s="109">
        <v>0.4</v>
      </c>
      <c r="O102" s="109">
        <v>0.4</v>
      </c>
      <c r="P102" s="109">
        <v>0.4</v>
      </c>
      <c r="Q102" s="87"/>
      <c r="R102" s="87" t="s">
        <v>627</v>
      </c>
      <c r="S102" s="87" t="s">
        <v>627</v>
      </c>
      <c r="T102" s="87"/>
      <c r="U102" s="311">
        <f>INDEX($K102:$Q102,1,U$54)</f>
        <v>0.4</v>
      </c>
      <c r="V102" s="311">
        <f t="shared" si="8"/>
        <v>0.4</v>
      </c>
      <c r="W102" s="311">
        <f t="shared" si="8"/>
        <v>0.4</v>
      </c>
      <c r="X102" s="311">
        <f t="shared" si="8"/>
        <v>0.4</v>
      </c>
      <c r="Y102" s="311">
        <f t="shared" si="8"/>
        <v>0.4</v>
      </c>
      <c r="Z102" s="311">
        <f t="shared" si="8"/>
        <v>0.4</v>
      </c>
      <c r="AA102" s="311">
        <f t="shared" si="8"/>
        <v>0.4</v>
      </c>
      <c r="AB102" s="311">
        <f t="shared" si="8"/>
        <v>0.4</v>
      </c>
      <c r="AC102" s="87"/>
      <c r="AD102" s="87"/>
      <c r="AE102" s="87"/>
      <c r="AF102" s="109">
        <v>1</v>
      </c>
      <c r="AG102" s="109">
        <v>1</v>
      </c>
      <c r="AH102" s="84"/>
      <c r="AI102" s="66"/>
      <c r="AJ102" s="54"/>
      <c r="AK102" s="54"/>
      <c r="AL102" s="54"/>
    </row>
    <row r="103" spans="1:38" outlineLevel="2" x14ac:dyDescent="0.25">
      <c r="A103" s="54"/>
      <c r="B103" s="63"/>
      <c r="C103" s="56">
        <f>INT($C$40)+2</f>
        <v>3</v>
      </c>
      <c r="D103" s="84"/>
      <c r="E103" s="79"/>
      <c r="F103" s="79" t="s">
        <v>628</v>
      </c>
      <c r="G103" s="84"/>
      <c r="H103" s="315" t="s">
        <v>629</v>
      </c>
      <c r="I103" s="108" t="s">
        <v>623</v>
      </c>
      <c r="J103" s="108"/>
      <c r="K103" s="109">
        <v>0.6</v>
      </c>
      <c r="L103" s="109">
        <v>0.6</v>
      </c>
      <c r="M103" s="109">
        <v>1</v>
      </c>
      <c r="N103" s="109">
        <v>1</v>
      </c>
      <c r="O103" s="109">
        <v>1</v>
      </c>
      <c r="P103" s="109">
        <v>1</v>
      </c>
      <c r="Q103" s="87"/>
      <c r="R103" s="87" t="s">
        <v>630</v>
      </c>
      <c r="S103" s="87" t="s">
        <v>631</v>
      </c>
      <c r="T103" s="87"/>
      <c r="U103" s="311">
        <f>INDEX($K103:$Q103,1,U$54)</f>
        <v>0.6</v>
      </c>
      <c r="V103" s="311">
        <f t="shared" si="8"/>
        <v>0.6</v>
      </c>
      <c r="W103" s="311">
        <f t="shared" si="8"/>
        <v>0.6</v>
      </c>
      <c r="X103" s="311">
        <f t="shared" si="8"/>
        <v>0.6</v>
      </c>
      <c r="Y103" s="311">
        <f t="shared" si="8"/>
        <v>0.6</v>
      </c>
      <c r="Z103" s="311">
        <f t="shared" si="8"/>
        <v>0.6</v>
      </c>
      <c r="AA103" s="311">
        <f t="shared" si="8"/>
        <v>0.6</v>
      </c>
      <c r="AB103" s="311">
        <f t="shared" si="8"/>
        <v>0.6</v>
      </c>
      <c r="AC103" s="87"/>
      <c r="AD103" s="87"/>
      <c r="AE103" s="87"/>
      <c r="AF103" s="109">
        <v>1</v>
      </c>
      <c r="AG103" s="109">
        <v>1</v>
      </c>
      <c r="AH103" s="84"/>
      <c r="AI103" s="66"/>
      <c r="AJ103" s="54"/>
      <c r="AK103" s="54"/>
      <c r="AL103" s="54"/>
    </row>
    <row r="104" spans="1:38" outlineLevel="2" x14ac:dyDescent="0.25">
      <c r="A104" s="54"/>
      <c r="B104" s="63"/>
      <c r="C104" s="56">
        <f>INT($C$40)+2</f>
        <v>3</v>
      </c>
      <c r="D104" s="84"/>
      <c r="E104" s="79"/>
      <c r="F104" s="79" t="s">
        <v>632</v>
      </c>
      <c r="G104" s="84"/>
      <c r="H104" s="87" t="s">
        <v>633</v>
      </c>
      <c r="I104" s="108" t="s">
        <v>623</v>
      </c>
      <c r="J104" s="108"/>
      <c r="K104" s="109">
        <v>0.15</v>
      </c>
      <c r="L104" s="109">
        <v>0.15</v>
      </c>
      <c r="M104" s="109">
        <v>0.15</v>
      </c>
      <c r="N104" s="109">
        <v>0.15</v>
      </c>
      <c r="O104" s="109">
        <v>0.15</v>
      </c>
      <c r="P104" s="109">
        <v>0.15</v>
      </c>
      <c r="Q104" s="87"/>
      <c r="R104" s="87" t="s">
        <v>634</v>
      </c>
      <c r="S104" s="87" t="s">
        <v>634</v>
      </c>
      <c r="T104" s="87"/>
      <c r="U104" s="311">
        <f>INDEX($K104:$Q104,1,U$54)</f>
        <v>0.15</v>
      </c>
      <c r="V104" s="311">
        <f t="shared" si="8"/>
        <v>0.15</v>
      </c>
      <c r="W104" s="311">
        <f t="shared" si="8"/>
        <v>0.15</v>
      </c>
      <c r="X104" s="311">
        <f t="shared" si="8"/>
        <v>0.15</v>
      </c>
      <c r="Y104" s="311">
        <f t="shared" si="8"/>
        <v>0.15</v>
      </c>
      <c r="Z104" s="311">
        <f t="shared" si="8"/>
        <v>0.15</v>
      </c>
      <c r="AA104" s="311">
        <f t="shared" si="8"/>
        <v>0.15</v>
      </c>
      <c r="AB104" s="311">
        <f t="shared" si="8"/>
        <v>0.15</v>
      </c>
      <c r="AC104" s="87"/>
      <c r="AD104" s="87"/>
      <c r="AE104" s="87"/>
      <c r="AF104" s="109">
        <v>1</v>
      </c>
      <c r="AG104" s="109">
        <v>1</v>
      </c>
      <c r="AH104" s="84"/>
      <c r="AI104" s="66"/>
      <c r="AJ104" s="54"/>
      <c r="AK104" s="54"/>
      <c r="AL104" s="54"/>
    </row>
    <row r="105" spans="1:38" hidden="1" outlineLevel="3" x14ac:dyDescent="0.25">
      <c r="A105" s="54"/>
      <c r="B105" s="63"/>
      <c r="C105" s="56">
        <f>INT($C$40)+3</f>
        <v>4</v>
      </c>
      <c r="D105" s="84"/>
      <c r="E105" s="79"/>
      <c r="F105" s="79" t="s">
        <v>635</v>
      </c>
      <c r="G105" s="84"/>
      <c r="H105" s="87" t="s">
        <v>636</v>
      </c>
      <c r="I105" s="108" t="s">
        <v>623</v>
      </c>
      <c r="J105" s="108"/>
      <c r="K105" s="87"/>
      <c r="L105" s="87"/>
      <c r="M105" s="87"/>
      <c r="N105" s="87"/>
      <c r="O105" s="87"/>
      <c r="P105" s="87"/>
      <c r="Q105" s="87"/>
      <c r="R105" s="87"/>
      <c r="S105" s="87"/>
      <c r="T105" s="87"/>
      <c r="U105" s="87"/>
      <c r="V105" s="87"/>
      <c r="W105" s="87"/>
      <c r="X105" s="87"/>
      <c r="Y105" s="87"/>
      <c r="Z105" s="87"/>
      <c r="AA105" s="87"/>
      <c r="AB105" s="87"/>
      <c r="AC105" s="87"/>
      <c r="AD105" s="87"/>
      <c r="AE105" s="87"/>
      <c r="AF105" s="109">
        <v>1</v>
      </c>
      <c r="AG105" s="109">
        <v>1</v>
      </c>
      <c r="AH105" s="84"/>
      <c r="AI105" s="66"/>
      <c r="AJ105" s="54"/>
      <c r="AK105" s="54"/>
      <c r="AL105" s="54"/>
    </row>
    <row r="106" spans="1:38" hidden="1" outlineLevel="3" x14ac:dyDescent="0.25">
      <c r="A106" s="54"/>
      <c r="B106" s="63"/>
      <c r="C106" s="56">
        <f>INT($C$40)+3</f>
        <v>4</v>
      </c>
      <c r="D106" s="84"/>
      <c r="E106" s="79"/>
      <c r="F106" s="79" t="s">
        <v>637</v>
      </c>
      <c r="G106" s="84"/>
      <c r="H106" s="87" t="s">
        <v>638</v>
      </c>
      <c r="I106" s="108" t="s">
        <v>639</v>
      </c>
      <c r="J106" s="108"/>
      <c r="K106" s="87"/>
      <c r="L106" s="87"/>
      <c r="M106" s="87"/>
      <c r="N106" s="87"/>
      <c r="O106" s="87"/>
      <c r="P106" s="87"/>
      <c r="Q106" s="87"/>
      <c r="R106" s="87"/>
      <c r="S106" s="87"/>
      <c r="T106" s="87"/>
      <c r="U106" s="109">
        <v>0.2</v>
      </c>
      <c r="V106" s="109">
        <v>0.25</v>
      </c>
      <c r="W106" s="109">
        <v>0.25</v>
      </c>
      <c r="X106" s="109">
        <v>0.3</v>
      </c>
      <c r="Y106" s="109">
        <v>0.3</v>
      </c>
      <c r="Z106" s="109">
        <v>0.3</v>
      </c>
      <c r="AA106" s="109">
        <v>0.3</v>
      </c>
      <c r="AB106" s="109">
        <v>0.3</v>
      </c>
      <c r="AC106" s="87"/>
      <c r="AD106" s="109" t="s">
        <v>570</v>
      </c>
      <c r="AE106" s="87"/>
      <c r="AF106" s="109">
        <v>1</v>
      </c>
      <c r="AG106" s="109">
        <v>1</v>
      </c>
      <c r="AH106" s="84"/>
      <c r="AI106" s="66"/>
      <c r="AJ106" s="54"/>
      <c r="AK106" s="54"/>
      <c r="AL106" s="54"/>
    </row>
    <row r="107" spans="1:38" outlineLevel="1" x14ac:dyDescent="0.25">
      <c r="A107" s="54"/>
      <c r="B107" s="63"/>
      <c r="C107" s="56">
        <f>INT($C$40)+1</f>
        <v>2</v>
      </c>
      <c r="D107" s="84"/>
      <c r="E107" s="79"/>
      <c r="F107" s="314" t="s">
        <v>640</v>
      </c>
      <c r="G107" s="84"/>
      <c r="H107" s="304" t="s">
        <v>641</v>
      </c>
      <c r="I107" s="108"/>
      <c r="J107" s="108" t="s">
        <v>642</v>
      </c>
      <c r="K107" s="87"/>
      <c r="L107" s="87"/>
      <c r="M107" s="87"/>
      <c r="N107" s="87"/>
      <c r="O107" s="87"/>
      <c r="P107" s="87"/>
      <c r="Q107" s="87"/>
      <c r="R107" s="87"/>
      <c r="S107" s="87"/>
      <c r="T107" s="87"/>
      <c r="U107" s="91">
        <v>22</v>
      </c>
      <c r="V107" s="87"/>
      <c r="W107" s="91">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643</v>
      </c>
      <c r="F108" s="79" t="s">
        <v>644</v>
      </c>
      <c r="G108" s="84"/>
      <c r="H108" s="87" t="s">
        <v>616</v>
      </c>
      <c r="I108" s="108"/>
      <c r="J108" s="108"/>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25">
      <c r="A109" s="54"/>
      <c r="B109" s="63"/>
      <c r="C109" s="56">
        <f t="shared" ref="C109:C126" si="9">INT($C$40)+2</f>
        <v>3</v>
      </c>
      <c r="D109" s="84"/>
      <c r="E109" s="79"/>
      <c r="F109" s="79" t="s">
        <v>645</v>
      </c>
      <c r="G109" s="84"/>
      <c r="H109" s="87" t="s">
        <v>646</v>
      </c>
      <c r="I109" s="108" t="s">
        <v>647</v>
      </c>
      <c r="J109" s="108"/>
      <c r="K109" s="109">
        <v>0.04</v>
      </c>
      <c r="L109" s="109">
        <v>0.04</v>
      </c>
      <c r="M109" s="109">
        <v>2.5000000000000001E-2</v>
      </c>
      <c r="N109" s="109">
        <v>2.5000000000000001E-2</v>
      </c>
      <c r="O109" s="109">
        <v>2.5000000000000001E-2</v>
      </c>
      <c r="P109" s="109">
        <v>2.5000000000000001E-2</v>
      </c>
      <c r="Q109" s="87"/>
      <c r="R109" s="87" t="s">
        <v>634</v>
      </c>
      <c r="S109" s="87" t="s">
        <v>634</v>
      </c>
      <c r="T109" s="87"/>
      <c r="U109" s="311">
        <f t="shared" ref="U109:AB123" si="10">INDEX($K109:$Q109,1,U$54)</f>
        <v>0.04</v>
      </c>
      <c r="V109" s="311">
        <f t="shared" si="10"/>
        <v>0.04</v>
      </c>
      <c r="W109" s="311">
        <f t="shared" si="10"/>
        <v>0.04</v>
      </c>
      <c r="X109" s="311">
        <f t="shared" si="10"/>
        <v>0.04</v>
      </c>
      <c r="Y109" s="311">
        <f t="shared" si="10"/>
        <v>0.04</v>
      </c>
      <c r="Z109" s="311">
        <f t="shared" si="10"/>
        <v>0.04</v>
      </c>
      <c r="AA109" s="311">
        <f t="shared" si="10"/>
        <v>0.04</v>
      </c>
      <c r="AB109" s="311">
        <f t="shared" si="10"/>
        <v>0.04</v>
      </c>
      <c r="AC109" s="87"/>
      <c r="AD109" s="87"/>
      <c r="AE109" s="87"/>
      <c r="AF109" s="109">
        <v>1</v>
      </c>
      <c r="AG109" s="109">
        <v>1</v>
      </c>
      <c r="AH109" s="84"/>
      <c r="AI109" s="66"/>
      <c r="AJ109" s="54"/>
      <c r="AK109" s="54"/>
      <c r="AL109" s="54"/>
    </row>
    <row r="110" spans="1:38" outlineLevel="2" x14ac:dyDescent="0.25">
      <c r="A110" s="54"/>
      <c r="B110" s="63"/>
      <c r="C110" s="56">
        <f t="shared" si="9"/>
        <v>3</v>
      </c>
      <c r="D110" s="84"/>
      <c r="E110" s="79"/>
      <c r="F110" s="79" t="s">
        <v>648</v>
      </c>
      <c r="G110" s="84"/>
      <c r="H110" s="87" t="s">
        <v>649</v>
      </c>
      <c r="I110" s="108" t="s">
        <v>623</v>
      </c>
      <c r="J110" s="108"/>
      <c r="K110" s="109">
        <v>1.7</v>
      </c>
      <c r="L110" s="109">
        <v>1.7</v>
      </c>
      <c r="M110" s="109">
        <v>1.7</v>
      </c>
      <c r="N110" s="109">
        <v>1.7</v>
      </c>
      <c r="O110" s="109">
        <v>1.7</v>
      </c>
      <c r="P110" s="109">
        <v>1.7</v>
      </c>
      <c r="Q110" s="87"/>
      <c r="R110" s="87" t="s">
        <v>634</v>
      </c>
      <c r="S110" s="87" t="s">
        <v>634</v>
      </c>
      <c r="T110" s="87"/>
      <c r="U110" s="311">
        <f t="shared" si="10"/>
        <v>1.7</v>
      </c>
      <c r="V110" s="311">
        <f t="shared" si="10"/>
        <v>1.7</v>
      </c>
      <c r="W110" s="311">
        <f t="shared" si="10"/>
        <v>1.7</v>
      </c>
      <c r="X110" s="311">
        <f t="shared" si="10"/>
        <v>1.7</v>
      </c>
      <c r="Y110" s="311">
        <f t="shared" si="10"/>
        <v>1.7</v>
      </c>
      <c r="Z110" s="311">
        <f t="shared" si="10"/>
        <v>1.7</v>
      </c>
      <c r="AA110" s="311">
        <f t="shared" si="10"/>
        <v>1.7</v>
      </c>
      <c r="AB110" s="311">
        <f t="shared" si="10"/>
        <v>1.7</v>
      </c>
      <c r="AC110" s="87"/>
      <c r="AD110" s="87"/>
      <c r="AE110" s="87"/>
      <c r="AF110" s="109">
        <v>1</v>
      </c>
      <c r="AG110" s="109">
        <v>1</v>
      </c>
      <c r="AH110" s="84"/>
      <c r="AI110" s="66"/>
      <c r="AJ110" s="54"/>
      <c r="AK110" s="54"/>
      <c r="AL110" s="54"/>
    </row>
    <row r="111" spans="1:38" outlineLevel="2" x14ac:dyDescent="0.25">
      <c r="A111" s="54"/>
      <c r="B111" s="63"/>
      <c r="C111" s="56">
        <f t="shared" si="9"/>
        <v>3</v>
      </c>
      <c r="D111" s="84"/>
      <c r="E111" s="79"/>
      <c r="F111" s="79" t="s">
        <v>650</v>
      </c>
      <c r="G111" s="84"/>
      <c r="H111" s="87" t="s">
        <v>651</v>
      </c>
      <c r="I111" s="108" t="s">
        <v>652</v>
      </c>
      <c r="J111" s="108"/>
      <c r="K111" s="109">
        <v>0.5</v>
      </c>
      <c r="L111" s="109">
        <v>0.5</v>
      </c>
      <c r="M111" s="109">
        <v>0.22</v>
      </c>
      <c r="N111" s="109">
        <v>0.22</v>
      </c>
      <c r="O111" s="109">
        <v>0.22</v>
      </c>
      <c r="P111" s="109">
        <v>0.22</v>
      </c>
      <c r="Q111" s="87"/>
      <c r="R111" s="87" t="s">
        <v>634</v>
      </c>
      <c r="S111" s="87" t="s">
        <v>634</v>
      </c>
      <c r="T111" s="87"/>
      <c r="U111" s="311">
        <f t="shared" si="10"/>
        <v>0.5</v>
      </c>
      <c r="V111" s="311">
        <f t="shared" si="10"/>
        <v>0.5</v>
      </c>
      <c r="W111" s="311">
        <f t="shared" si="10"/>
        <v>0.5</v>
      </c>
      <c r="X111" s="311">
        <f t="shared" si="10"/>
        <v>0.5</v>
      </c>
      <c r="Y111" s="311">
        <f t="shared" si="10"/>
        <v>0.5</v>
      </c>
      <c r="Z111" s="311">
        <f t="shared" si="10"/>
        <v>0.5</v>
      </c>
      <c r="AA111" s="311">
        <f t="shared" si="10"/>
        <v>0.5</v>
      </c>
      <c r="AB111" s="311">
        <f t="shared" si="10"/>
        <v>0.5</v>
      </c>
      <c r="AC111" s="87"/>
      <c r="AD111" s="87"/>
      <c r="AE111" s="87"/>
      <c r="AF111" s="109">
        <v>1</v>
      </c>
      <c r="AG111" s="109">
        <v>1</v>
      </c>
      <c r="AH111" s="84"/>
      <c r="AI111" s="66"/>
      <c r="AJ111" s="54"/>
      <c r="AK111" s="54"/>
      <c r="AL111" s="54"/>
    </row>
    <row r="112" spans="1:38" outlineLevel="2" x14ac:dyDescent="0.25">
      <c r="A112" s="54"/>
      <c r="B112" s="63"/>
      <c r="C112" s="56">
        <f t="shared" si="9"/>
        <v>3</v>
      </c>
      <c r="D112" s="84"/>
      <c r="E112" s="79"/>
      <c r="F112" s="79" t="s">
        <v>653</v>
      </c>
      <c r="G112" s="84"/>
      <c r="H112" s="87" t="s">
        <v>651</v>
      </c>
      <c r="I112" s="108" t="s">
        <v>654</v>
      </c>
      <c r="J112" s="108"/>
      <c r="K112" s="109">
        <v>25</v>
      </c>
      <c r="L112" s="109">
        <v>25</v>
      </c>
      <c r="M112" s="109">
        <v>60</v>
      </c>
      <c r="N112" s="109">
        <v>60</v>
      </c>
      <c r="O112" s="109">
        <v>60</v>
      </c>
      <c r="P112" s="109">
        <v>60</v>
      </c>
      <c r="Q112" s="87"/>
      <c r="R112" s="87" t="s">
        <v>634</v>
      </c>
      <c r="S112" s="87" t="s">
        <v>634</v>
      </c>
      <c r="T112" s="87"/>
      <c r="U112" s="311">
        <f t="shared" si="10"/>
        <v>25</v>
      </c>
      <c r="V112" s="311">
        <f t="shared" si="10"/>
        <v>25</v>
      </c>
      <c r="W112" s="311">
        <f t="shared" si="10"/>
        <v>25</v>
      </c>
      <c r="X112" s="311">
        <f t="shared" si="10"/>
        <v>25</v>
      </c>
      <c r="Y112" s="311">
        <f t="shared" si="10"/>
        <v>25</v>
      </c>
      <c r="Z112" s="311">
        <f t="shared" si="10"/>
        <v>25</v>
      </c>
      <c r="AA112" s="311">
        <f t="shared" si="10"/>
        <v>25</v>
      </c>
      <c r="AB112" s="311">
        <f t="shared" si="10"/>
        <v>25</v>
      </c>
      <c r="AC112" s="87"/>
      <c r="AD112" s="87"/>
      <c r="AE112" s="87"/>
      <c r="AF112" s="109">
        <v>1</v>
      </c>
      <c r="AG112" s="109">
        <v>1</v>
      </c>
      <c r="AH112" s="84"/>
      <c r="AI112" s="66"/>
      <c r="AJ112" s="54"/>
      <c r="AK112" s="54"/>
      <c r="AL112" s="54"/>
    </row>
    <row r="113" spans="1:38" outlineLevel="2" x14ac:dyDescent="0.25">
      <c r="A113" s="54"/>
      <c r="B113" s="63"/>
      <c r="C113" s="56">
        <f t="shared" si="9"/>
        <v>3</v>
      </c>
      <c r="D113" s="84"/>
      <c r="E113" s="79"/>
      <c r="F113" s="79" t="s">
        <v>655</v>
      </c>
      <c r="G113" s="84"/>
      <c r="H113" s="87" t="s">
        <v>656</v>
      </c>
      <c r="I113" s="108" t="s">
        <v>623</v>
      </c>
      <c r="J113" s="108"/>
      <c r="K113" s="109">
        <v>0.01</v>
      </c>
      <c r="L113" s="109">
        <v>0.01</v>
      </c>
      <c r="M113" s="109">
        <v>0.02</v>
      </c>
      <c r="N113" s="109">
        <v>0.01</v>
      </c>
      <c r="O113" s="109">
        <v>0.02</v>
      </c>
      <c r="P113" s="109">
        <v>0.02</v>
      </c>
      <c r="Q113" s="87"/>
      <c r="R113" s="87" t="s">
        <v>657</v>
      </c>
      <c r="S113" s="87" t="s">
        <v>657</v>
      </c>
      <c r="T113" s="87"/>
      <c r="U113" s="311">
        <f t="shared" si="10"/>
        <v>0.01</v>
      </c>
      <c r="V113" s="311">
        <f t="shared" si="10"/>
        <v>0.01</v>
      </c>
      <c r="W113" s="311">
        <f t="shared" si="10"/>
        <v>0.01</v>
      </c>
      <c r="X113" s="311">
        <f t="shared" si="10"/>
        <v>0.01</v>
      </c>
      <c r="Y113" s="311">
        <f t="shared" si="10"/>
        <v>0.01</v>
      </c>
      <c r="Z113" s="311">
        <f t="shared" si="10"/>
        <v>0.01</v>
      </c>
      <c r="AA113" s="311">
        <f t="shared" si="10"/>
        <v>0.01</v>
      </c>
      <c r="AB113" s="311">
        <f t="shared" si="10"/>
        <v>0.01</v>
      </c>
      <c r="AC113" s="87"/>
      <c r="AD113" s="87"/>
      <c r="AE113" s="87"/>
      <c r="AF113" s="109">
        <v>1</v>
      </c>
      <c r="AG113" s="109">
        <v>1</v>
      </c>
      <c r="AH113" s="84"/>
      <c r="AI113" s="66"/>
      <c r="AJ113" s="54"/>
      <c r="AK113" s="54"/>
      <c r="AL113" s="54"/>
    </row>
    <row r="114" spans="1:38" outlineLevel="2" x14ac:dyDescent="0.25">
      <c r="A114" s="54"/>
      <c r="B114" s="63"/>
      <c r="C114" s="56">
        <f t="shared" si="9"/>
        <v>3</v>
      </c>
      <c r="D114" s="84"/>
      <c r="E114" s="79"/>
      <c r="F114" s="79" t="s">
        <v>658</v>
      </c>
      <c r="G114" s="84"/>
      <c r="H114" s="87" t="s">
        <v>659</v>
      </c>
      <c r="I114" s="108" t="s">
        <v>660</v>
      </c>
      <c r="J114" s="108"/>
      <c r="K114" s="109">
        <v>25</v>
      </c>
      <c r="L114" s="109">
        <v>25</v>
      </c>
      <c r="M114" s="109">
        <v>25</v>
      </c>
      <c r="N114" s="109">
        <v>25</v>
      </c>
      <c r="O114" s="109">
        <v>25</v>
      </c>
      <c r="P114" s="109">
        <v>25</v>
      </c>
      <c r="Q114" s="87"/>
      <c r="R114" s="87" t="s">
        <v>657</v>
      </c>
      <c r="S114" s="87" t="s">
        <v>657</v>
      </c>
      <c r="T114" s="87"/>
      <c r="U114" s="311">
        <f t="shared" si="10"/>
        <v>25</v>
      </c>
      <c r="V114" s="311">
        <f t="shared" si="10"/>
        <v>25</v>
      </c>
      <c r="W114" s="311">
        <f t="shared" si="10"/>
        <v>25</v>
      </c>
      <c r="X114" s="311">
        <f t="shared" si="10"/>
        <v>25</v>
      </c>
      <c r="Y114" s="311">
        <f t="shared" si="10"/>
        <v>25</v>
      </c>
      <c r="Z114" s="311">
        <f t="shared" si="10"/>
        <v>25</v>
      </c>
      <c r="AA114" s="311">
        <f t="shared" si="10"/>
        <v>25</v>
      </c>
      <c r="AB114" s="311">
        <f t="shared" si="10"/>
        <v>25</v>
      </c>
      <c r="AC114" s="87"/>
      <c r="AD114" s="87"/>
      <c r="AE114" s="87"/>
      <c r="AF114" s="109">
        <v>1</v>
      </c>
      <c r="AG114" s="109">
        <v>1</v>
      </c>
      <c r="AH114" s="84"/>
      <c r="AI114" s="66"/>
      <c r="AJ114" s="54"/>
      <c r="AK114" s="54"/>
      <c r="AL114" s="54"/>
    </row>
    <row r="115" spans="1:38" outlineLevel="2" x14ac:dyDescent="0.25">
      <c r="A115" s="54"/>
      <c r="B115" s="63"/>
      <c r="C115" s="56">
        <f t="shared" si="9"/>
        <v>3</v>
      </c>
      <c r="D115" s="84"/>
      <c r="E115" s="79"/>
      <c r="F115" s="79" t="s">
        <v>661</v>
      </c>
      <c r="G115" s="84"/>
      <c r="H115" s="87" t="s">
        <v>662</v>
      </c>
      <c r="I115" s="108" t="s">
        <v>660</v>
      </c>
      <c r="J115" s="108"/>
      <c r="K115" s="109">
        <v>22</v>
      </c>
      <c r="L115" s="109">
        <v>22</v>
      </c>
      <c r="M115" s="109">
        <v>22</v>
      </c>
      <c r="N115" s="109">
        <v>22</v>
      </c>
      <c r="O115" s="109">
        <v>22</v>
      </c>
      <c r="P115" s="109">
        <v>22</v>
      </c>
      <c r="Q115" s="87"/>
      <c r="R115" s="87" t="s">
        <v>657</v>
      </c>
      <c r="S115" s="87" t="s">
        <v>657</v>
      </c>
      <c r="T115" s="87"/>
      <c r="U115" s="311">
        <f t="shared" si="10"/>
        <v>22</v>
      </c>
      <c r="V115" s="311">
        <f t="shared" si="10"/>
        <v>22</v>
      </c>
      <c r="W115" s="311">
        <f t="shared" si="10"/>
        <v>22</v>
      </c>
      <c r="X115" s="311">
        <f t="shared" si="10"/>
        <v>22</v>
      </c>
      <c r="Y115" s="311">
        <f t="shared" si="10"/>
        <v>22</v>
      </c>
      <c r="Z115" s="311">
        <f t="shared" si="10"/>
        <v>22</v>
      </c>
      <c r="AA115" s="311">
        <f t="shared" si="10"/>
        <v>22</v>
      </c>
      <c r="AB115" s="311">
        <f t="shared" si="10"/>
        <v>22</v>
      </c>
      <c r="AC115" s="87"/>
      <c r="AD115" s="87"/>
      <c r="AE115" s="87"/>
      <c r="AF115" s="109">
        <v>1</v>
      </c>
      <c r="AG115" s="109">
        <v>1</v>
      </c>
      <c r="AH115" s="84"/>
      <c r="AI115" s="66"/>
      <c r="AJ115" s="54"/>
      <c r="AK115" s="54"/>
      <c r="AL115" s="54"/>
    </row>
    <row r="116" spans="1:38" outlineLevel="2" x14ac:dyDescent="0.25">
      <c r="A116" s="54"/>
      <c r="B116" s="63"/>
      <c r="C116" s="56">
        <f t="shared" si="9"/>
        <v>3</v>
      </c>
      <c r="D116" s="84"/>
      <c r="E116" s="79"/>
      <c r="F116" s="79" t="s">
        <v>663</v>
      </c>
      <c r="G116" s="84"/>
      <c r="H116" s="87" t="s">
        <v>664</v>
      </c>
      <c r="I116" s="108" t="s">
        <v>654</v>
      </c>
      <c r="J116" s="108"/>
      <c r="K116" s="109">
        <v>28</v>
      </c>
      <c r="L116" s="109">
        <v>28</v>
      </c>
      <c r="M116" s="109">
        <v>62</v>
      </c>
      <c r="N116" s="109">
        <v>62</v>
      </c>
      <c r="O116" s="109">
        <v>62</v>
      </c>
      <c r="P116" s="109">
        <v>81</v>
      </c>
      <c r="Q116" s="87"/>
      <c r="R116" s="87" t="s">
        <v>634</v>
      </c>
      <c r="S116" s="87" t="s">
        <v>634</v>
      </c>
      <c r="T116" s="87"/>
      <c r="U116" s="311">
        <f t="shared" si="10"/>
        <v>28</v>
      </c>
      <c r="V116" s="311">
        <f t="shared" si="10"/>
        <v>28</v>
      </c>
      <c r="W116" s="311">
        <f t="shared" si="10"/>
        <v>28</v>
      </c>
      <c r="X116" s="311">
        <f t="shared" si="10"/>
        <v>28</v>
      </c>
      <c r="Y116" s="311">
        <f t="shared" si="10"/>
        <v>28</v>
      </c>
      <c r="Z116" s="311">
        <f t="shared" si="10"/>
        <v>28</v>
      </c>
      <c r="AA116" s="311">
        <f t="shared" si="10"/>
        <v>28</v>
      </c>
      <c r="AB116" s="311">
        <f t="shared" si="10"/>
        <v>28</v>
      </c>
      <c r="AC116" s="87"/>
      <c r="AD116" s="87"/>
      <c r="AE116" s="87"/>
      <c r="AF116" s="109">
        <v>1</v>
      </c>
      <c r="AG116" s="109">
        <v>1</v>
      </c>
      <c r="AH116" s="84"/>
      <c r="AI116" s="66"/>
      <c r="AJ116" s="54"/>
      <c r="AK116" s="54"/>
      <c r="AL116" s="54"/>
    </row>
    <row r="117" spans="1:38" outlineLevel="2" x14ac:dyDescent="0.25">
      <c r="A117" s="54"/>
      <c r="B117" s="63"/>
      <c r="C117" s="56">
        <f t="shared" si="9"/>
        <v>3</v>
      </c>
      <c r="D117" s="84"/>
      <c r="E117" s="79"/>
      <c r="F117" s="79" t="s">
        <v>665</v>
      </c>
      <c r="G117" s="84"/>
      <c r="H117" s="87" t="s">
        <v>666</v>
      </c>
      <c r="I117" s="108" t="s">
        <v>623</v>
      </c>
      <c r="J117" s="108"/>
      <c r="K117" s="109">
        <v>1.4</v>
      </c>
      <c r="L117" s="109">
        <v>1.4</v>
      </c>
      <c r="M117" s="109">
        <v>1.7</v>
      </c>
      <c r="N117" s="109">
        <v>1.7</v>
      </c>
      <c r="O117" s="109">
        <v>1.7</v>
      </c>
      <c r="P117" s="109">
        <v>0.7</v>
      </c>
      <c r="Q117" s="87"/>
      <c r="R117" s="87" t="s">
        <v>634</v>
      </c>
      <c r="S117" s="87" t="s">
        <v>634</v>
      </c>
      <c r="T117" s="87"/>
      <c r="U117" s="311">
        <f t="shared" si="10"/>
        <v>1.4</v>
      </c>
      <c r="V117" s="311">
        <f t="shared" si="10"/>
        <v>1.4</v>
      </c>
      <c r="W117" s="311">
        <f t="shared" si="10"/>
        <v>1.4</v>
      </c>
      <c r="X117" s="311">
        <f t="shared" si="10"/>
        <v>1.4</v>
      </c>
      <c r="Y117" s="311">
        <f t="shared" si="10"/>
        <v>1.4</v>
      </c>
      <c r="Z117" s="311">
        <f t="shared" si="10"/>
        <v>1.4</v>
      </c>
      <c r="AA117" s="311">
        <f t="shared" si="10"/>
        <v>1.4</v>
      </c>
      <c r="AB117" s="311">
        <f t="shared" si="10"/>
        <v>1.4</v>
      </c>
      <c r="AC117" s="87"/>
      <c r="AD117" s="87"/>
      <c r="AE117" s="87"/>
      <c r="AF117" s="109">
        <v>1</v>
      </c>
      <c r="AG117" s="109">
        <v>1</v>
      </c>
      <c r="AH117" s="84"/>
      <c r="AI117" s="66"/>
      <c r="AJ117" s="54"/>
      <c r="AK117" s="54"/>
      <c r="AL117" s="54"/>
    </row>
    <row r="118" spans="1:38" outlineLevel="2" x14ac:dyDescent="0.25">
      <c r="A118" s="54"/>
      <c r="B118" s="63"/>
      <c r="C118" s="56">
        <f t="shared" si="9"/>
        <v>3</v>
      </c>
      <c r="D118" s="84"/>
      <c r="E118" s="79"/>
      <c r="F118" s="79" t="s">
        <v>667</v>
      </c>
      <c r="G118" s="84"/>
      <c r="H118" s="87" t="s">
        <v>668</v>
      </c>
      <c r="I118" s="108" t="s">
        <v>669</v>
      </c>
      <c r="J118" s="108"/>
      <c r="K118" s="87"/>
      <c r="L118" s="87"/>
      <c r="M118" s="109">
        <v>0.6</v>
      </c>
      <c r="N118" s="109">
        <v>0.6</v>
      </c>
      <c r="O118" s="109">
        <v>0.6</v>
      </c>
      <c r="P118" s="109">
        <v>0.6</v>
      </c>
      <c r="Q118" s="87"/>
      <c r="R118" s="87"/>
      <c r="S118" s="87"/>
      <c r="T118" s="87"/>
      <c r="U118" s="311">
        <f t="shared" si="10"/>
        <v>0</v>
      </c>
      <c r="V118" s="311">
        <f t="shared" si="10"/>
        <v>0</v>
      </c>
      <c r="W118" s="311">
        <f t="shared" si="10"/>
        <v>0</v>
      </c>
      <c r="X118" s="311">
        <f t="shared" si="10"/>
        <v>0</v>
      </c>
      <c r="Y118" s="311">
        <f t="shared" si="10"/>
        <v>0</v>
      </c>
      <c r="Z118" s="311">
        <f t="shared" si="10"/>
        <v>0</v>
      </c>
      <c r="AA118" s="311">
        <f t="shared" si="10"/>
        <v>0</v>
      </c>
      <c r="AB118" s="311">
        <f t="shared" si="10"/>
        <v>0</v>
      </c>
      <c r="AC118" s="87"/>
      <c r="AD118" s="87"/>
      <c r="AE118" s="87"/>
      <c r="AF118" s="109">
        <v>1</v>
      </c>
      <c r="AG118" s="109">
        <v>1</v>
      </c>
      <c r="AH118" s="84"/>
      <c r="AI118" s="66"/>
      <c r="AJ118" s="54"/>
      <c r="AK118" s="54"/>
      <c r="AL118" s="54"/>
    </row>
    <row r="119" spans="1:38" outlineLevel="2" x14ac:dyDescent="0.25">
      <c r="A119" s="54"/>
      <c r="B119" s="63"/>
      <c r="C119" s="56">
        <f t="shared" si="9"/>
        <v>3</v>
      </c>
      <c r="D119" s="84"/>
      <c r="E119" s="79"/>
      <c r="F119" s="79" t="s">
        <v>670</v>
      </c>
      <c r="G119" s="84"/>
      <c r="H119" s="87" t="s">
        <v>668</v>
      </c>
      <c r="I119" s="108" t="s">
        <v>623</v>
      </c>
      <c r="J119" s="108"/>
      <c r="K119" s="87"/>
      <c r="L119" s="87"/>
      <c r="M119" s="109">
        <v>0.05</v>
      </c>
      <c r="N119" s="109">
        <v>0.05</v>
      </c>
      <c r="O119" s="109">
        <v>0.05</v>
      </c>
      <c r="P119" s="109">
        <v>0.05</v>
      </c>
      <c r="Q119" s="87"/>
      <c r="R119" s="87"/>
      <c r="S119" s="87"/>
      <c r="T119" s="87"/>
      <c r="U119" s="311">
        <f t="shared" si="10"/>
        <v>0</v>
      </c>
      <c r="V119" s="311">
        <f t="shared" si="10"/>
        <v>0</v>
      </c>
      <c r="W119" s="311">
        <f t="shared" si="10"/>
        <v>0</v>
      </c>
      <c r="X119" s="311">
        <f t="shared" si="10"/>
        <v>0</v>
      </c>
      <c r="Y119" s="311">
        <f t="shared" si="10"/>
        <v>0</v>
      </c>
      <c r="Z119" s="311">
        <f t="shared" si="10"/>
        <v>0</v>
      </c>
      <c r="AA119" s="311">
        <f t="shared" si="10"/>
        <v>0</v>
      </c>
      <c r="AB119" s="311">
        <f t="shared" si="10"/>
        <v>0</v>
      </c>
      <c r="AC119" s="87"/>
      <c r="AD119" s="87"/>
      <c r="AE119" s="87"/>
      <c r="AF119" s="109">
        <v>1</v>
      </c>
      <c r="AG119" s="109">
        <v>1</v>
      </c>
      <c r="AH119" s="84"/>
      <c r="AI119" s="66"/>
      <c r="AJ119" s="54"/>
      <c r="AK119" s="54"/>
      <c r="AL119" s="54"/>
    </row>
    <row r="120" spans="1:38" outlineLevel="2" x14ac:dyDescent="0.25">
      <c r="A120" s="54"/>
      <c r="B120" s="63"/>
      <c r="C120" s="56">
        <f t="shared" si="9"/>
        <v>3</v>
      </c>
      <c r="D120" s="84"/>
      <c r="E120" s="79"/>
      <c r="F120" s="79" t="s">
        <v>671</v>
      </c>
      <c r="G120" s="84"/>
      <c r="H120" s="87" t="s">
        <v>672</v>
      </c>
      <c r="I120" s="108" t="s">
        <v>623</v>
      </c>
      <c r="J120" s="108"/>
      <c r="K120" s="109">
        <v>0.15</v>
      </c>
      <c r="L120" s="109">
        <v>0.15</v>
      </c>
      <c r="M120" s="109">
        <v>0.15</v>
      </c>
      <c r="N120" s="109">
        <v>0.15</v>
      </c>
      <c r="O120" s="109">
        <v>0.15</v>
      </c>
      <c r="P120" s="109">
        <v>0.15</v>
      </c>
      <c r="Q120" s="87"/>
      <c r="R120" s="87" t="s">
        <v>673</v>
      </c>
      <c r="S120" s="87" t="s">
        <v>673</v>
      </c>
      <c r="T120" s="87"/>
      <c r="U120" s="311">
        <f t="shared" si="10"/>
        <v>0.15</v>
      </c>
      <c r="V120" s="311">
        <f t="shared" si="10"/>
        <v>0.15</v>
      </c>
      <c r="W120" s="311">
        <f t="shared" si="10"/>
        <v>0.15</v>
      </c>
      <c r="X120" s="311">
        <f t="shared" si="10"/>
        <v>0.15</v>
      </c>
      <c r="Y120" s="311">
        <f t="shared" si="10"/>
        <v>0.15</v>
      </c>
      <c r="Z120" s="311">
        <f t="shared" si="10"/>
        <v>0.15</v>
      </c>
      <c r="AA120" s="311">
        <f t="shared" si="10"/>
        <v>0.15</v>
      </c>
      <c r="AB120" s="311">
        <f t="shared" si="10"/>
        <v>0.15</v>
      </c>
      <c r="AC120" s="87"/>
      <c r="AD120" s="87"/>
      <c r="AE120" s="87"/>
      <c r="AF120" s="109">
        <v>1</v>
      </c>
      <c r="AG120" s="109">
        <v>1</v>
      </c>
      <c r="AH120" s="84"/>
      <c r="AI120" s="66"/>
      <c r="AJ120" s="54"/>
      <c r="AK120" s="54"/>
      <c r="AL120" s="54"/>
    </row>
    <row r="121" spans="1:38" outlineLevel="2" x14ac:dyDescent="0.25">
      <c r="A121" s="54"/>
      <c r="B121" s="63"/>
      <c r="C121" s="56">
        <f t="shared" si="9"/>
        <v>3</v>
      </c>
      <c r="D121" s="84"/>
      <c r="E121" s="79"/>
      <c r="F121" s="79" t="s">
        <v>674</v>
      </c>
      <c r="G121" s="84"/>
      <c r="H121" s="87" t="s">
        <v>672</v>
      </c>
      <c r="I121" s="108" t="s">
        <v>652</v>
      </c>
      <c r="J121" s="108"/>
      <c r="K121" s="109">
        <v>0.02</v>
      </c>
      <c r="L121" s="109">
        <v>0.02</v>
      </c>
      <c r="M121" s="109">
        <v>5.0000000000000001E-3</v>
      </c>
      <c r="N121" s="109">
        <v>5.0000000000000001E-3</v>
      </c>
      <c r="O121" s="109">
        <v>5.0000000000000001E-3</v>
      </c>
      <c r="P121" s="109">
        <v>5.0000000000000001E-3</v>
      </c>
      <c r="Q121" s="87"/>
      <c r="R121" s="87" t="s">
        <v>673</v>
      </c>
      <c r="S121" s="87" t="s">
        <v>673</v>
      </c>
      <c r="T121" s="87"/>
      <c r="U121" s="311">
        <f t="shared" si="10"/>
        <v>0.02</v>
      </c>
      <c r="V121" s="311">
        <f t="shared" si="10"/>
        <v>0.02</v>
      </c>
      <c r="W121" s="311">
        <f t="shared" si="10"/>
        <v>0.02</v>
      </c>
      <c r="X121" s="311">
        <f t="shared" si="10"/>
        <v>0.02</v>
      </c>
      <c r="Y121" s="311">
        <f t="shared" si="10"/>
        <v>0.02</v>
      </c>
      <c r="Z121" s="311">
        <f t="shared" si="10"/>
        <v>0.02</v>
      </c>
      <c r="AA121" s="311">
        <f t="shared" si="10"/>
        <v>0.02</v>
      </c>
      <c r="AB121" s="311">
        <f t="shared" si="10"/>
        <v>0.02</v>
      </c>
      <c r="AC121" s="87"/>
      <c r="AD121" s="87"/>
      <c r="AE121" s="87"/>
      <c r="AF121" s="109">
        <v>1</v>
      </c>
      <c r="AG121" s="109">
        <v>1</v>
      </c>
      <c r="AH121" s="84"/>
      <c r="AI121" s="66"/>
      <c r="AJ121" s="54"/>
      <c r="AK121" s="54"/>
      <c r="AL121" s="54"/>
    </row>
    <row r="122" spans="1:38" outlineLevel="2" x14ac:dyDescent="0.25">
      <c r="A122" s="54"/>
      <c r="B122" s="63"/>
      <c r="C122" s="56">
        <f t="shared" si="9"/>
        <v>3</v>
      </c>
      <c r="D122" s="84"/>
      <c r="E122" s="79"/>
      <c r="F122" s="79" t="s">
        <v>675</v>
      </c>
      <c r="G122" s="84"/>
      <c r="H122" s="87" t="s">
        <v>672</v>
      </c>
      <c r="I122" s="108" t="s">
        <v>652</v>
      </c>
      <c r="J122" s="108"/>
      <c r="K122" s="109">
        <v>2E-3</v>
      </c>
      <c r="L122" s="109">
        <v>2E-3</v>
      </c>
      <c r="M122" s="109">
        <v>2E-3</v>
      </c>
      <c r="N122" s="109">
        <v>2E-3</v>
      </c>
      <c r="O122" s="109">
        <v>2E-3</v>
      </c>
      <c r="P122" s="109">
        <v>2E-3</v>
      </c>
      <c r="Q122" s="87"/>
      <c r="R122" s="87" t="s">
        <v>673</v>
      </c>
      <c r="S122" s="87" t="s">
        <v>673</v>
      </c>
      <c r="T122" s="87"/>
      <c r="U122" s="311">
        <f t="shared" si="10"/>
        <v>2E-3</v>
      </c>
      <c r="V122" s="311">
        <f t="shared" si="10"/>
        <v>2E-3</v>
      </c>
      <c r="W122" s="311">
        <f t="shared" si="10"/>
        <v>2E-3</v>
      </c>
      <c r="X122" s="311">
        <f t="shared" si="10"/>
        <v>2E-3</v>
      </c>
      <c r="Y122" s="311">
        <f t="shared" si="10"/>
        <v>2E-3</v>
      </c>
      <c r="Z122" s="311">
        <f t="shared" si="10"/>
        <v>2E-3</v>
      </c>
      <c r="AA122" s="311">
        <f t="shared" si="10"/>
        <v>2E-3</v>
      </c>
      <c r="AB122" s="311">
        <f t="shared" si="10"/>
        <v>2E-3</v>
      </c>
      <c r="AC122" s="87"/>
      <c r="AD122" s="87"/>
      <c r="AE122" s="87"/>
      <c r="AF122" s="109">
        <v>1</v>
      </c>
      <c r="AG122" s="109">
        <v>1</v>
      </c>
      <c r="AH122" s="84"/>
      <c r="AI122" s="66"/>
      <c r="AJ122" s="54"/>
      <c r="AK122" s="54"/>
      <c r="AL122" s="54"/>
    </row>
    <row r="123" spans="1:38" outlineLevel="2" collapsed="1" x14ac:dyDescent="0.25">
      <c r="A123" s="54"/>
      <c r="B123" s="63"/>
      <c r="C123" s="56">
        <f t="shared" si="9"/>
        <v>3</v>
      </c>
      <c r="D123" s="84"/>
      <c r="E123" s="79"/>
      <c r="F123" s="79" t="s">
        <v>676</v>
      </c>
      <c r="G123" s="84"/>
      <c r="H123" s="87" t="s">
        <v>677</v>
      </c>
      <c r="I123" s="108" t="s">
        <v>623</v>
      </c>
      <c r="J123" s="108"/>
      <c r="K123" s="109">
        <v>0.5</v>
      </c>
      <c r="L123" s="109">
        <v>0.5</v>
      </c>
      <c r="M123" s="109">
        <v>0.5</v>
      </c>
      <c r="N123" s="109">
        <v>0.5</v>
      </c>
      <c r="O123" s="109">
        <v>0.5</v>
      </c>
      <c r="P123" s="109">
        <v>0.5</v>
      </c>
      <c r="Q123" s="87"/>
      <c r="R123" s="87" t="s">
        <v>673</v>
      </c>
      <c r="S123" s="87" t="s">
        <v>673</v>
      </c>
      <c r="T123" s="87"/>
      <c r="U123" s="311">
        <f t="shared" si="10"/>
        <v>0.5</v>
      </c>
      <c r="V123" s="311">
        <f t="shared" si="10"/>
        <v>0.5</v>
      </c>
      <c r="W123" s="311">
        <f t="shared" si="10"/>
        <v>0.5</v>
      </c>
      <c r="X123" s="311">
        <f t="shared" si="10"/>
        <v>0.5</v>
      </c>
      <c r="Y123" s="311">
        <f t="shared" si="10"/>
        <v>0.5</v>
      </c>
      <c r="Z123" s="311">
        <f t="shared" si="10"/>
        <v>0.5</v>
      </c>
      <c r="AA123" s="311">
        <f t="shared" si="10"/>
        <v>0.5</v>
      </c>
      <c r="AB123" s="311">
        <f t="shared" si="10"/>
        <v>0.5</v>
      </c>
      <c r="AC123" s="87"/>
      <c r="AD123" s="87"/>
      <c r="AE123" s="87"/>
      <c r="AF123" s="109">
        <v>1</v>
      </c>
      <c r="AG123" s="109">
        <v>1</v>
      </c>
      <c r="AH123" s="84"/>
      <c r="AI123" s="66"/>
      <c r="AJ123" s="54"/>
      <c r="AK123" s="54"/>
      <c r="AL123" s="54"/>
    </row>
    <row r="124" spans="1:38" hidden="1" outlineLevel="3" x14ac:dyDescent="0.25">
      <c r="A124" s="54"/>
      <c r="B124" s="63"/>
      <c r="C124" s="56">
        <f t="shared" si="9"/>
        <v>3</v>
      </c>
      <c r="D124" s="84"/>
      <c r="E124" s="79"/>
      <c r="F124" s="79" t="s">
        <v>678</v>
      </c>
      <c r="G124" s="84"/>
      <c r="H124" s="87" t="s">
        <v>679</v>
      </c>
      <c r="I124" s="108" t="s">
        <v>623</v>
      </c>
      <c r="J124" s="108"/>
      <c r="K124" s="87"/>
      <c r="L124" s="87"/>
      <c r="M124" s="87"/>
      <c r="N124" s="87"/>
      <c r="O124" s="87"/>
      <c r="P124" s="87"/>
      <c r="Q124" s="87"/>
      <c r="R124" s="87"/>
      <c r="S124" s="87"/>
      <c r="T124" s="87"/>
      <c r="U124" s="87"/>
      <c r="V124" s="87"/>
      <c r="W124" s="87"/>
      <c r="X124" s="87"/>
      <c r="Y124" s="87"/>
      <c r="Z124" s="87"/>
      <c r="AA124" s="87"/>
      <c r="AB124" s="87"/>
      <c r="AC124" s="87"/>
      <c r="AD124" s="87"/>
      <c r="AE124" s="87"/>
      <c r="AF124" s="109">
        <v>1</v>
      </c>
      <c r="AG124" s="109">
        <v>1</v>
      </c>
      <c r="AH124" s="84"/>
      <c r="AI124" s="66"/>
      <c r="AJ124" s="54"/>
      <c r="AK124" s="54"/>
      <c r="AL124" s="54"/>
    </row>
    <row r="125" spans="1:38" outlineLevel="2" x14ac:dyDescent="0.25">
      <c r="A125" s="54"/>
      <c r="B125" s="63"/>
      <c r="C125" s="56">
        <f t="shared" si="9"/>
        <v>3</v>
      </c>
      <c r="D125" s="84"/>
      <c r="E125" s="79"/>
      <c r="F125" s="79" t="s">
        <v>680</v>
      </c>
      <c r="G125" s="84"/>
      <c r="H125" s="87" t="s">
        <v>681</v>
      </c>
      <c r="I125" s="108" t="s">
        <v>623</v>
      </c>
      <c r="J125" s="108"/>
      <c r="K125" s="109">
        <v>0.01</v>
      </c>
      <c r="L125" s="109">
        <v>0.01</v>
      </c>
      <c r="M125" s="109">
        <v>0.01</v>
      </c>
      <c r="N125" s="109">
        <v>0.01</v>
      </c>
      <c r="O125" s="109">
        <v>0.01</v>
      </c>
      <c r="P125" s="109">
        <v>0.01</v>
      </c>
      <c r="Q125" s="87"/>
      <c r="R125" s="87" t="s">
        <v>682</v>
      </c>
      <c r="S125" s="87" t="s">
        <v>682</v>
      </c>
      <c r="T125" s="87"/>
      <c r="U125" s="311">
        <f t="shared" ref="U125:AB126" si="11">INDEX($K125:$Q125,1,U$54)</f>
        <v>0.01</v>
      </c>
      <c r="V125" s="311">
        <f t="shared" si="11"/>
        <v>0.01</v>
      </c>
      <c r="W125" s="311">
        <f t="shared" si="11"/>
        <v>0.01</v>
      </c>
      <c r="X125" s="311">
        <f t="shared" si="11"/>
        <v>0.01</v>
      </c>
      <c r="Y125" s="311">
        <f t="shared" si="11"/>
        <v>0.01</v>
      </c>
      <c r="Z125" s="311">
        <f t="shared" si="11"/>
        <v>0.01</v>
      </c>
      <c r="AA125" s="311">
        <f t="shared" si="11"/>
        <v>0.01</v>
      </c>
      <c r="AB125" s="311">
        <f t="shared" si="11"/>
        <v>0.01</v>
      </c>
      <c r="AC125" s="87"/>
      <c r="AD125" s="87"/>
      <c r="AE125" s="87"/>
      <c r="AF125" s="109">
        <v>1</v>
      </c>
      <c r="AG125" s="109">
        <v>1</v>
      </c>
      <c r="AH125" s="84"/>
      <c r="AI125" s="66"/>
      <c r="AJ125" s="54"/>
      <c r="AK125" s="54"/>
      <c r="AL125" s="54"/>
    </row>
    <row r="126" spans="1:38" outlineLevel="2" collapsed="1" x14ac:dyDescent="0.25">
      <c r="A126" s="54"/>
      <c r="B126" s="63"/>
      <c r="C126" s="56">
        <f t="shared" si="9"/>
        <v>3</v>
      </c>
      <c r="D126" s="84"/>
      <c r="E126" s="79"/>
      <c r="F126" s="79" t="s">
        <v>683</v>
      </c>
      <c r="G126" s="84"/>
      <c r="H126" s="87" t="s">
        <v>684</v>
      </c>
      <c r="I126" s="108" t="s">
        <v>623</v>
      </c>
      <c r="J126" s="108"/>
      <c r="K126" s="109">
        <v>20</v>
      </c>
      <c r="L126" s="109">
        <v>20</v>
      </c>
      <c r="M126" s="109">
        <v>20</v>
      </c>
      <c r="N126" s="109">
        <v>20</v>
      </c>
      <c r="O126" s="109">
        <v>20</v>
      </c>
      <c r="P126" s="109">
        <v>20</v>
      </c>
      <c r="Q126" s="87"/>
      <c r="R126" s="87" t="s">
        <v>682</v>
      </c>
      <c r="S126" s="87" t="s">
        <v>682</v>
      </c>
      <c r="T126" s="87"/>
      <c r="U126" s="311">
        <f t="shared" si="11"/>
        <v>20</v>
      </c>
      <c r="V126" s="311">
        <f t="shared" si="11"/>
        <v>20</v>
      </c>
      <c r="W126" s="311">
        <f t="shared" si="11"/>
        <v>20</v>
      </c>
      <c r="X126" s="311">
        <f t="shared" si="11"/>
        <v>20</v>
      </c>
      <c r="Y126" s="311">
        <f t="shared" si="11"/>
        <v>20</v>
      </c>
      <c r="Z126" s="311">
        <f t="shared" si="11"/>
        <v>20</v>
      </c>
      <c r="AA126" s="311">
        <f t="shared" si="11"/>
        <v>20</v>
      </c>
      <c r="AB126" s="311">
        <f t="shared" si="11"/>
        <v>20</v>
      </c>
      <c r="AC126" s="87"/>
      <c r="AD126" s="87"/>
      <c r="AE126" s="87"/>
      <c r="AF126" s="109">
        <v>1</v>
      </c>
      <c r="AG126" s="109">
        <v>1</v>
      </c>
      <c r="AH126" s="84"/>
      <c r="AI126" s="66"/>
      <c r="AJ126" s="54"/>
      <c r="AK126" s="54"/>
      <c r="AL126" s="54"/>
    </row>
    <row r="127" spans="1:38" hidden="1" outlineLevel="3" x14ac:dyDescent="0.25">
      <c r="A127" s="54"/>
      <c r="B127" s="63"/>
      <c r="C127" s="56">
        <f>INT($C$40)+3</f>
        <v>4</v>
      </c>
      <c r="D127" s="84"/>
      <c r="E127" s="79"/>
      <c r="F127" s="79" t="s">
        <v>685</v>
      </c>
      <c r="G127" s="84"/>
      <c r="H127" s="87" t="s">
        <v>686</v>
      </c>
      <c r="I127" s="108"/>
      <c r="J127" s="108"/>
      <c r="K127" s="87"/>
      <c r="L127" s="87"/>
      <c r="M127" s="87"/>
      <c r="N127" s="87"/>
      <c r="O127" s="87"/>
      <c r="P127" s="87"/>
      <c r="Q127" s="87"/>
      <c r="R127" s="87"/>
      <c r="S127" s="87"/>
      <c r="T127" s="87"/>
      <c r="U127" s="87"/>
      <c r="V127" s="87"/>
      <c r="W127" s="87"/>
      <c r="X127" s="87"/>
      <c r="Y127" s="87"/>
      <c r="Z127" s="87"/>
      <c r="AA127" s="87"/>
      <c r="AB127" s="87"/>
      <c r="AC127" s="87"/>
      <c r="AD127" s="87"/>
      <c r="AE127" s="87"/>
      <c r="AF127" s="109">
        <v>1</v>
      </c>
      <c r="AG127" s="109">
        <v>1</v>
      </c>
      <c r="AH127" s="84"/>
      <c r="AI127" s="66"/>
      <c r="AJ127" s="54"/>
      <c r="AK127" s="54"/>
      <c r="AL127" s="54"/>
    </row>
    <row r="128" spans="1:38" outlineLevel="2" x14ac:dyDescent="0.25">
      <c r="A128" s="54"/>
      <c r="B128" s="63"/>
      <c r="C128" s="56">
        <f>INT($C$40)+2</f>
        <v>3</v>
      </c>
      <c r="D128" s="84"/>
      <c r="E128" s="79"/>
      <c r="F128" s="79" t="s">
        <v>687</v>
      </c>
      <c r="G128" s="84"/>
      <c r="H128" s="87" t="s">
        <v>688</v>
      </c>
      <c r="I128" s="108" t="s">
        <v>623</v>
      </c>
      <c r="J128" s="108"/>
      <c r="K128" s="109">
        <v>1.5</v>
      </c>
      <c r="L128" s="109">
        <v>1.5</v>
      </c>
      <c r="M128" s="109">
        <v>1.5</v>
      </c>
      <c r="N128" s="109">
        <v>1.5</v>
      </c>
      <c r="O128" s="109">
        <v>1.5</v>
      </c>
      <c r="P128" s="109">
        <v>1.5</v>
      </c>
      <c r="Q128" s="87"/>
      <c r="R128" s="87"/>
      <c r="S128" s="87" t="s">
        <v>673</v>
      </c>
      <c r="T128" s="87"/>
      <c r="U128" s="311">
        <f t="shared" ref="U128:AB129" si="12">INDEX($K128:$Q128,1,U$54)</f>
        <v>1.5</v>
      </c>
      <c r="V128" s="311">
        <f t="shared" si="12"/>
        <v>1.5</v>
      </c>
      <c r="W128" s="311">
        <f t="shared" si="12"/>
        <v>1.5</v>
      </c>
      <c r="X128" s="311">
        <f t="shared" si="12"/>
        <v>1.5</v>
      </c>
      <c r="Y128" s="311">
        <f t="shared" si="12"/>
        <v>1.5</v>
      </c>
      <c r="Z128" s="311">
        <f t="shared" si="12"/>
        <v>1.5</v>
      </c>
      <c r="AA128" s="311">
        <f t="shared" si="12"/>
        <v>1.5</v>
      </c>
      <c r="AB128" s="311">
        <f t="shared" si="12"/>
        <v>1.5</v>
      </c>
      <c r="AC128" s="87"/>
      <c r="AD128" s="87"/>
      <c r="AE128" s="87"/>
      <c r="AF128" s="109">
        <v>1</v>
      </c>
      <c r="AG128" s="109">
        <v>1</v>
      </c>
      <c r="AH128" s="84"/>
      <c r="AI128" s="66"/>
      <c r="AJ128" s="54"/>
      <c r="AK128" s="54"/>
      <c r="AL128" s="54"/>
    </row>
    <row r="129" spans="1:38" outlineLevel="2" x14ac:dyDescent="0.25">
      <c r="A129" s="54"/>
      <c r="B129" s="63"/>
      <c r="C129" s="56">
        <f>INT($C$40)+2</f>
        <v>3</v>
      </c>
      <c r="D129" s="84"/>
      <c r="E129" s="79"/>
      <c r="F129" s="79" t="s">
        <v>689</v>
      </c>
      <c r="G129" s="84"/>
      <c r="H129" s="87" t="s">
        <v>690</v>
      </c>
      <c r="I129" s="108" t="s">
        <v>623</v>
      </c>
      <c r="J129" s="108"/>
      <c r="K129" s="109">
        <v>3</v>
      </c>
      <c r="L129" s="109">
        <v>3</v>
      </c>
      <c r="M129" s="109">
        <v>3</v>
      </c>
      <c r="N129" s="109">
        <v>3</v>
      </c>
      <c r="O129" s="109">
        <v>3</v>
      </c>
      <c r="P129" s="109">
        <v>3</v>
      </c>
      <c r="Q129" s="87"/>
      <c r="R129" s="87"/>
      <c r="S129" s="87" t="s">
        <v>627</v>
      </c>
      <c r="T129" s="87"/>
      <c r="U129" s="311">
        <f t="shared" si="12"/>
        <v>3</v>
      </c>
      <c r="V129" s="311">
        <f t="shared" si="12"/>
        <v>3</v>
      </c>
      <c r="W129" s="311">
        <f t="shared" si="12"/>
        <v>3</v>
      </c>
      <c r="X129" s="311">
        <f t="shared" si="12"/>
        <v>3</v>
      </c>
      <c r="Y129" s="311">
        <f t="shared" si="12"/>
        <v>3</v>
      </c>
      <c r="Z129" s="311">
        <f t="shared" si="12"/>
        <v>3</v>
      </c>
      <c r="AA129" s="311">
        <f t="shared" si="12"/>
        <v>3</v>
      </c>
      <c r="AB129" s="311">
        <f t="shared" si="12"/>
        <v>3</v>
      </c>
      <c r="AC129" s="87"/>
      <c r="AD129" s="87"/>
      <c r="AE129" s="87"/>
      <c r="AF129" s="109">
        <v>1</v>
      </c>
      <c r="AG129" s="109">
        <v>1</v>
      </c>
      <c r="AH129" s="84"/>
      <c r="AI129" s="66"/>
      <c r="AJ129" s="54"/>
      <c r="AK129" s="54"/>
      <c r="AL129" s="54"/>
    </row>
    <row r="130" spans="1:38" outlineLevel="1" x14ac:dyDescent="0.25">
      <c r="A130" s="54"/>
      <c r="B130" s="63"/>
      <c r="C130" s="56">
        <f>INT($C$40)+1</f>
        <v>2</v>
      </c>
      <c r="D130" s="84"/>
      <c r="E130" s="79"/>
      <c r="F130" s="314" t="s">
        <v>691</v>
      </c>
      <c r="G130" s="84"/>
      <c r="H130" s="304" t="s">
        <v>692</v>
      </c>
      <c r="I130" s="108"/>
      <c r="J130" s="108" t="s">
        <v>642</v>
      </c>
      <c r="K130" s="87"/>
      <c r="L130" s="87"/>
      <c r="M130" s="87"/>
      <c r="N130" s="87"/>
      <c r="O130" s="87"/>
      <c r="P130" s="87"/>
      <c r="Q130" s="87"/>
      <c r="R130" s="87"/>
      <c r="S130" s="87"/>
      <c r="T130" s="87"/>
      <c r="U130" s="91">
        <v>23</v>
      </c>
      <c r="V130" s="87"/>
      <c r="W130" s="91">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693</v>
      </c>
      <c r="F131" s="79" t="s">
        <v>694</v>
      </c>
      <c r="G131" s="84"/>
      <c r="H131" s="87" t="s">
        <v>616</v>
      </c>
      <c r="I131" s="108"/>
      <c r="J131" s="108"/>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25">
      <c r="A132" s="54"/>
      <c r="B132" s="63"/>
      <c r="C132" s="56">
        <f t="shared" ref="C132:C145" si="13">INT($C$40)+2</f>
        <v>3</v>
      </c>
      <c r="D132" s="84"/>
      <c r="E132" s="79"/>
      <c r="F132" s="79" t="s">
        <v>695</v>
      </c>
      <c r="G132" s="84"/>
      <c r="H132" s="87" t="s">
        <v>696</v>
      </c>
      <c r="I132" s="108" t="s">
        <v>697</v>
      </c>
      <c r="J132" s="108"/>
      <c r="K132" s="109">
        <v>0.8</v>
      </c>
      <c r="L132" s="109">
        <v>0.8</v>
      </c>
      <c r="M132" s="109">
        <v>0.8</v>
      </c>
      <c r="N132" s="109">
        <v>0.8</v>
      </c>
      <c r="O132" s="109">
        <v>0.8</v>
      </c>
      <c r="P132" s="109">
        <v>0.8</v>
      </c>
      <c r="Q132" s="87"/>
      <c r="R132" s="87" t="s">
        <v>634</v>
      </c>
      <c r="S132" s="87" t="s">
        <v>634</v>
      </c>
      <c r="T132" s="87"/>
      <c r="U132" s="311">
        <f t="shared" ref="U132:AB145" si="14">INDEX($K132:$Q132,1,U$54)</f>
        <v>0.8</v>
      </c>
      <c r="V132" s="311">
        <f t="shared" si="14"/>
        <v>0.8</v>
      </c>
      <c r="W132" s="311">
        <f t="shared" si="14"/>
        <v>0.8</v>
      </c>
      <c r="X132" s="311">
        <f t="shared" si="14"/>
        <v>0.8</v>
      </c>
      <c r="Y132" s="311">
        <f t="shared" si="14"/>
        <v>0.8</v>
      </c>
      <c r="Z132" s="311">
        <f t="shared" si="14"/>
        <v>0.8</v>
      </c>
      <c r="AA132" s="311">
        <f t="shared" si="14"/>
        <v>0.8</v>
      </c>
      <c r="AB132" s="311">
        <f t="shared" si="14"/>
        <v>0.8</v>
      </c>
      <c r="AC132" s="87"/>
      <c r="AD132" s="87"/>
      <c r="AE132" s="87"/>
      <c r="AF132" s="109">
        <v>1</v>
      </c>
      <c r="AG132" s="109">
        <v>1</v>
      </c>
      <c r="AH132" s="84"/>
      <c r="AI132" s="66"/>
      <c r="AJ132" s="54"/>
      <c r="AK132" s="54"/>
      <c r="AL132" s="54"/>
    </row>
    <row r="133" spans="1:38" outlineLevel="2" x14ac:dyDescent="0.25">
      <c r="A133" s="54"/>
      <c r="B133" s="63"/>
      <c r="C133" s="56">
        <f t="shared" si="13"/>
        <v>3</v>
      </c>
      <c r="D133" s="84"/>
      <c r="E133" s="79"/>
      <c r="F133" s="79" t="s">
        <v>698</v>
      </c>
      <c r="G133" s="84"/>
      <c r="H133" s="87" t="s">
        <v>699</v>
      </c>
      <c r="I133" s="108" t="s">
        <v>623</v>
      </c>
      <c r="J133" s="108"/>
      <c r="K133" s="109">
        <v>0.17</v>
      </c>
      <c r="L133" s="109">
        <v>0.17</v>
      </c>
      <c r="M133" s="109">
        <v>0.17</v>
      </c>
      <c r="N133" s="109">
        <v>0.17</v>
      </c>
      <c r="O133" s="109">
        <v>0.17</v>
      </c>
      <c r="P133" s="109">
        <v>0.17</v>
      </c>
      <c r="Q133" s="87"/>
      <c r="R133" s="87" t="s">
        <v>634</v>
      </c>
      <c r="S133" s="87" t="s">
        <v>634</v>
      </c>
      <c r="T133" s="87"/>
      <c r="U133" s="311">
        <f t="shared" si="14"/>
        <v>0.17</v>
      </c>
      <c r="V133" s="311">
        <f t="shared" si="14"/>
        <v>0.17</v>
      </c>
      <c r="W133" s="311">
        <f t="shared" si="14"/>
        <v>0.17</v>
      </c>
      <c r="X133" s="311">
        <f t="shared" si="14"/>
        <v>0.17</v>
      </c>
      <c r="Y133" s="311">
        <f t="shared" si="14"/>
        <v>0.17</v>
      </c>
      <c r="Z133" s="311">
        <f t="shared" si="14"/>
        <v>0.17</v>
      </c>
      <c r="AA133" s="311">
        <f t="shared" si="14"/>
        <v>0.17</v>
      </c>
      <c r="AB133" s="311">
        <f t="shared" si="14"/>
        <v>0.17</v>
      </c>
      <c r="AC133" s="87"/>
      <c r="AD133" s="87"/>
      <c r="AE133" s="87"/>
      <c r="AF133" s="109">
        <v>1</v>
      </c>
      <c r="AG133" s="109">
        <v>1</v>
      </c>
      <c r="AH133" s="84"/>
      <c r="AI133" s="66"/>
      <c r="AJ133" s="54"/>
      <c r="AK133" s="54"/>
      <c r="AL133" s="54"/>
    </row>
    <row r="134" spans="1:38" outlineLevel="2" x14ac:dyDescent="0.25">
      <c r="A134" s="54"/>
      <c r="B134" s="63"/>
      <c r="C134" s="56">
        <f t="shared" si="13"/>
        <v>3</v>
      </c>
      <c r="D134" s="84"/>
      <c r="E134" s="79"/>
      <c r="F134" s="79" t="s">
        <v>700</v>
      </c>
      <c r="G134" s="84"/>
      <c r="H134" s="87" t="s">
        <v>701</v>
      </c>
      <c r="I134" s="108" t="s">
        <v>623</v>
      </c>
      <c r="J134" s="108"/>
      <c r="K134" s="109">
        <v>1.7</v>
      </c>
      <c r="L134" s="109">
        <v>1.7</v>
      </c>
      <c r="M134" s="109">
        <v>1.7</v>
      </c>
      <c r="N134" s="109">
        <v>1.7</v>
      </c>
      <c r="O134" s="109">
        <v>1.7</v>
      </c>
      <c r="P134" s="109">
        <v>1.7</v>
      </c>
      <c r="Q134" s="87"/>
      <c r="R134" s="87" t="s">
        <v>634</v>
      </c>
      <c r="S134" s="87" t="s">
        <v>634</v>
      </c>
      <c r="T134" s="87"/>
      <c r="U134" s="311">
        <f t="shared" si="14"/>
        <v>1.7</v>
      </c>
      <c r="V134" s="311">
        <f t="shared" si="14"/>
        <v>1.7</v>
      </c>
      <c r="W134" s="311">
        <f t="shared" si="14"/>
        <v>1.7</v>
      </c>
      <c r="X134" s="311">
        <f t="shared" si="14"/>
        <v>1.7</v>
      </c>
      <c r="Y134" s="311">
        <f t="shared" si="14"/>
        <v>1.7</v>
      </c>
      <c r="Z134" s="311">
        <f t="shared" si="14"/>
        <v>1.7</v>
      </c>
      <c r="AA134" s="311">
        <f t="shared" si="14"/>
        <v>1.7</v>
      </c>
      <c r="AB134" s="311">
        <f t="shared" si="14"/>
        <v>1.7</v>
      </c>
      <c r="AC134" s="87"/>
      <c r="AD134" s="87"/>
      <c r="AE134" s="87"/>
      <c r="AF134" s="109">
        <v>1</v>
      </c>
      <c r="AG134" s="109">
        <v>1</v>
      </c>
      <c r="AH134" s="84"/>
      <c r="AI134" s="66"/>
      <c r="AJ134" s="54"/>
      <c r="AK134" s="54"/>
      <c r="AL134" s="54"/>
    </row>
    <row r="135" spans="1:38" outlineLevel="2" x14ac:dyDescent="0.25">
      <c r="A135" s="54"/>
      <c r="B135" s="63"/>
      <c r="C135" s="56">
        <f t="shared" si="13"/>
        <v>3</v>
      </c>
      <c r="D135" s="84"/>
      <c r="E135" s="79"/>
      <c r="F135" s="79" t="s">
        <v>702</v>
      </c>
      <c r="G135" s="84"/>
      <c r="H135" s="87" t="s">
        <v>703</v>
      </c>
      <c r="I135" s="108" t="s">
        <v>669</v>
      </c>
      <c r="J135" s="108"/>
      <c r="K135" s="109">
        <v>1.1199999999999999E-3</v>
      </c>
      <c r="L135" s="109">
        <v>1.1199999999999999E-3</v>
      </c>
      <c r="M135" s="109">
        <v>7.7999999999999999E-4</v>
      </c>
      <c r="N135" s="109">
        <v>7.7999999999999999E-4</v>
      </c>
      <c r="O135" s="109">
        <v>7.7999999999999999E-4</v>
      </c>
      <c r="P135" s="109">
        <v>7.7999999999999999E-4</v>
      </c>
      <c r="Q135" s="87"/>
      <c r="R135" s="87" t="s">
        <v>634</v>
      </c>
      <c r="S135" s="87" t="s">
        <v>634</v>
      </c>
      <c r="T135" s="87"/>
      <c r="U135" s="311">
        <f t="shared" si="14"/>
        <v>1.1199999999999999E-3</v>
      </c>
      <c r="V135" s="311">
        <f t="shared" si="14"/>
        <v>1.1199999999999999E-3</v>
      </c>
      <c r="W135" s="311">
        <f t="shared" si="14"/>
        <v>1.1199999999999999E-3</v>
      </c>
      <c r="X135" s="311">
        <f t="shared" si="14"/>
        <v>1.1199999999999999E-3</v>
      </c>
      <c r="Y135" s="311">
        <f t="shared" si="14"/>
        <v>1.1199999999999999E-3</v>
      </c>
      <c r="Z135" s="311">
        <f t="shared" si="14"/>
        <v>1.1199999999999999E-3</v>
      </c>
      <c r="AA135" s="311">
        <f t="shared" si="14"/>
        <v>1.1199999999999999E-3</v>
      </c>
      <c r="AB135" s="311">
        <f t="shared" si="14"/>
        <v>1.1199999999999999E-3</v>
      </c>
      <c r="AC135" s="87"/>
      <c r="AD135" s="87"/>
      <c r="AE135" s="87"/>
      <c r="AF135" s="109">
        <v>1</v>
      </c>
      <c r="AG135" s="109">
        <v>1</v>
      </c>
      <c r="AH135" s="84"/>
      <c r="AI135" s="66"/>
      <c r="AJ135" s="54"/>
      <c r="AK135" s="54"/>
      <c r="AL135" s="54"/>
    </row>
    <row r="136" spans="1:38" outlineLevel="2" x14ac:dyDescent="0.25">
      <c r="A136" s="54"/>
      <c r="B136" s="63"/>
      <c r="C136" s="56">
        <f t="shared" si="13"/>
        <v>3</v>
      </c>
      <c r="D136" s="84"/>
      <c r="E136" s="79"/>
      <c r="F136" s="79" t="s">
        <v>704</v>
      </c>
      <c r="G136" s="84"/>
      <c r="H136" s="87" t="s">
        <v>705</v>
      </c>
      <c r="I136" s="108" t="s">
        <v>623</v>
      </c>
      <c r="J136" s="108"/>
      <c r="K136" s="109">
        <v>0.6</v>
      </c>
      <c r="L136" s="109">
        <v>0.6</v>
      </c>
      <c r="M136" s="109">
        <v>0.6</v>
      </c>
      <c r="N136" s="109">
        <v>0.6</v>
      </c>
      <c r="O136" s="109">
        <v>0.6</v>
      </c>
      <c r="P136" s="109">
        <v>0.6</v>
      </c>
      <c r="Q136" s="87"/>
      <c r="R136" s="87" t="s">
        <v>634</v>
      </c>
      <c r="S136" s="87" t="s">
        <v>634</v>
      </c>
      <c r="T136" s="87"/>
      <c r="U136" s="311">
        <f t="shared" si="14"/>
        <v>0.6</v>
      </c>
      <c r="V136" s="311">
        <f t="shared" si="14"/>
        <v>0.6</v>
      </c>
      <c r="W136" s="311">
        <f t="shared" si="14"/>
        <v>0.6</v>
      </c>
      <c r="X136" s="311">
        <f t="shared" si="14"/>
        <v>0.6</v>
      </c>
      <c r="Y136" s="311">
        <f t="shared" si="14"/>
        <v>0.6</v>
      </c>
      <c r="Z136" s="311">
        <f t="shared" si="14"/>
        <v>0.6</v>
      </c>
      <c r="AA136" s="311">
        <f t="shared" si="14"/>
        <v>0.6</v>
      </c>
      <c r="AB136" s="311">
        <f t="shared" si="14"/>
        <v>0.6</v>
      </c>
      <c r="AC136" s="87"/>
      <c r="AD136" s="87"/>
      <c r="AE136" s="87"/>
      <c r="AF136" s="109">
        <v>1</v>
      </c>
      <c r="AG136" s="109">
        <v>1</v>
      </c>
      <c r="AH136" s="84"/>
      <c r="AI136" s="66"/>
      <c r="AJ136" s="54"/>
      <c r="AK136" s="54"/>
      <c r="AL136" s="54"/>
    </row>
    <row r="137" spans="1:38" outlineLevel="2" x14ac:dyDescent="0.25">
      <c r="A137" s="54"/>
      <c r="B137" s="63"/>
      <c r="C137" s="56">
        <f t="shared" si="13"/>
        <v>3</v>
      </c>
      <c r="D137" s="84"/>
      <c r="E137" s="79"/>
      <c r="F137" s="79" t="s">
        <v>706</v>
      </c>
      <c r="G137" s="84"/>
      <c r="H137" s="87" t="s">
        <v>707</v>
      </c>
      <c r="I137" s="108" t="s">
        <v>669</v>
      </c>
      <c r="J137" s="108"/>
      <c r="K137" s="109">
        <v>1.1199999999999999E-3</v>
      </c>
      <c r="L137" s="109">
        <v>1.1199999999999999E-3</v>
      </c>
      <c r="M137" s="109">
        <v>7.3999999999999999E-4</v>
      </c>
      <c r="N137" s="109">
        <v>7.3999999999999999E-4</v>
      </c>
      <c r="O137" s="109">
        <v>7.3999999999999999E-4</v>
      </c>
      <c r="P137" s="109">
        <v>7.3999999999999999E-4</v>
      </c>
      <c r="Q137" s="87"/>
      <c r="R137" s="87" t="s">
        <v>634</v>
      </c>
      <c r="S137" s="87" t="s">
        <v>634</v>
      </c>
      <c r="T137" s="87"/>
      <c r="U137" s="311">
        <f t="shared" si="14"/>
        <v>1.1199999999999999E-3</v>
      </c>
      <c r="V137" s="311">
        <f t="shared" si="14"/>
        <v>1.1199999999999999E-3</v>
      </c>
      <c r="W137" s="311">
        <f t="shared" si="14"/>
        <v>1.1199999999999999E-3</v>
      </c>
      <c r="X137" s="311">
        <f t="shared" si="14"/>
        <v>1.1199999999999999E-3</v>
      </c>
      <c r="Y137" s="311">
        <f t="shared" si="14"/>
        <v>1.1199999999999999E-3</v>
      </c>
      <c r="Z137" s="311">
        <f t="shared" si="14"/>
        <v>1.1199999999999999E-3</v>
      </c>
      <c r="AA137" s="311">
        <f t="shared" si="14"/>
        <v>1.1199999999999999E-3</v>
      </c>
      <c r="AB137" s="311">
        <f t="shared" si="14"/>
        <v>1.1199999999999999E-3</v>
      </c>
      <c r="AC137" s="87"/>
      <c r="AD137" s="87"/>
      <c r="AE137" s="87"/>
      <c r="AF137" s="109">
        <v>1</v>
      </c>
      <c r="AG137" s="109">
        <v>1</v>
      </c>
      <c r="AH137" s="84"/>
      <c r="AI137" s="66"/>
      <c r="AJ137" s="54"/>
      <c r="AK137" s="54"/>
      <c r="AL137" s="54"/>
    </row>
    <row r="138" spans="1:38" outlineLevel="2" x14ac:dyDescent="0.25">
      <c r="A138" s="54"/>
      <c r="B138" s="63"/>
      <c r="C138" s="56">
        <f t="shared" si="13"/>
        <v>3</v>
      </c>
      <c r="D138" s="84"/>
      <c r="E138" s="79"/>
      <c r="F138" s="79" t="s">
        <v>708</v>
      </c>
      <c r="G138" s="84"/>
      <c r="H138" s="87" t="s">
        <v>709</v>
      </c>
      <c r="I138" s="108" t="s">
        <v>623</v>
      </c>
      <c r="J138" s="108"/>
      <c r="K138" s="109">
        <v>0</v>
      </c>
      <c r="L138" s="109">
        <v>0</v>
      </c>
      <c r="M138" s="109">
        <v>0.5</v>
      </c>
      <c r="N138" s="109">
        <v>0.5</v>
      </c>
      <c r="O138" s="109">
        <v>0.5</v>
      </c>
      <c r="P138" s="109">
        <v>0.5</v>
      </c>
      <c r="Q138" s="87"/>
      <c r="R138" s="87"/>
      <c r="S138" s="87" t="s">
        <v>710</v>
      </c>
      <c r="T138" s="87"/>
      <c r="U138" s="311">
        <f t="shared" si="14"/>
        <v>0</v>
      </c>
      <c r="V138" s="311">
        <f t="shared" si="14"/>
        <v>0</v>
      </c>
      <c r="W138" s="311">
        <f t="shared" si="14"/>
        <v>0</v>
      </c>
      <c r="X138" s="311">
        <f t="shared" si="14"/>
        <v>0</v>
      </c>
      <c r="Y138" s="311">
        <f t="shared" si="14"/>
        <v>0</v>
      </c>
      <c r="Z138" s="311">
        <f t="shared" si="14"/>
        <v>0</v>
      </c>
      <c r="AA138" s="311">
        <f t="shared" si="14"/>
        <v>0</v>
      </c>
      <c r="AB138" s="311">
        <f t="shared" si="14"/>
        <v>0</v>
      </c>
      <c r="AC138" s="87"/>
      <c r="AD138" s="87"/>
      <c r="AE138" s="87"/>
      <c r="AF138" s="109">
        <v>1</v>
      </c>
      <c r="AG138" s="109">
        <v>1</v>
      </c>
      <c r="AH138" s="84"/>
      <c r="AI138" s="66"/>
      <c r="AJ138" s="54"/>
      <c r="AK138" s="54"/>
      <c r="AL138" s="54"/>
    </row>
    <row r="139" spans="1:38" outlineLevel="2" x14ac:dyDescent="0.25">
      <c r="A139" s="54"/>
      <c r="B139" s="63"/>
      <c r="C139" s="56">
        <f t="shared" si="13"/>
        <v>3</v>
      </c>
      <c r="D139" s="84"/>
      <c r="E139" s="79"/>
      <c r="F139" s="79" t="s">
        <v>711</v>
      </c>
      <c r="G139" s="84"/>
      <c r="H139" s="87" t="s">
        <v>712</v>
      </c>
      <c r="I139" s="108" t="s">
        <v>654</v>
      </c>
      <c r="J139" s="108"/>
      <c r="K139" s="87"/>
      <c r="L139" s="87"/>
      <c r="M139" s="109">
        <v>64</v>
      </c>
      <c r="N139" s="109">
        <v>64</v>
      </c>
      <c r="O139" s="109">
        <v>64</v>
      </c>
      <c r="P139" s="109">
        <v>150</v>
      </c>
      <c r="Q139" s="87"/>
      <c r="R139" s="87"/>
      <c r="S139" s="87" t="s">
        <v>710</v>
      </c>
      <c r="T139" s="87"/>
      <c r="U139" s="311">
        <f t="shared" si="14"/>
        <v>0</v>
      </c>
      <c r="V139" s="311">
        <f t="shared" si="14"/>
        <v>0</v>
      </c>
      <c r="W139" s="311">
        <f t="shared" si="14"/>
        <v>0</v>
      </c>
      <c r="X139" s="311">
        <f t="shared" si="14"/>
        <v>0</v>
      </c>
      <c r="Y139" s="311">
        <f t="shared" si="14"/>
        <v>0</v>
      </c>
      <c r="Z139" s="311">
        <f t="shared" si="14"/>
        <v>0</v>
      </c>
      <c r="AA139" s="311">
        <f t="shared" si="14"/>
        <v>0</v>
      </c>
      <c r="AB139" s="311">
        <f t="shared" si="14"/>
        <v>0</v>
      </c>
      <c r="AC139" s="87"/>
      <c r="AD139" s="87"/>
      <c r="AE139" s="87"/>
      <c r="AF139" s="109">
        <v>1</v>
      </c>
      <c r="AG139" s="109">
        <v>1</v>
      </c>
      <c r="AH139" s="84"/>
      <c r="AI139" s="66"/>
      <c r="AJ139" s="54"/>
      <c r="AK139" s="54"/>
      <c r="AL139" s="54"/>
    </row>
    <row r="140" spans="1:38" outlineLevel="2" x14ac:dyDescent="0.25">
      <c r="A140" s="54"/>
      <c r="B140" s="63"/>
      <c r="C140" s="56">
        <f t="shared" si="13"/>
        <v>3</v>
      </c>
      <c r="D140" s="84"/>
      <c r="E140" s="79"/>
      <c r="F140" s="79" t="s">
        <v>713</v>
      </c>
      <c r="G140" s="84"/>
      <c r="H140" s="87" t="s">
        <v>714</v>
      </c>
      <c r="I140" s="108" t="s">
        <v>623</v>
      </c>
      <c r="J140" s="108"/>
      <c r="K140" s="87"/>
      <c r="L140" s="87"/>
      <c r="M140" s="109">
        <v>1.7</v>
      </c>
      <c r="N140" s="109">
        <v>1.7</v>
      </c>
      <c r="O140" s="109">
        <v>1.7</v>
      </c>
      <c r="P140" s="109">
        <v>1.7</v>
      </c>
      <c r="Q140" s="87"/>
      <c r="R140" s="87"/>
      <c r="S140" s="87" t="s">
        <v>710</v>
      </c>
      <c r="T140" s="87"/>
      <c r="U140" s="311">
        <f t="shared" si="14"/>
        <v>0</v>
      </c>
      <c r="V140" s="311">
        <f t="shared" si="14"/>
        <v>0</v>
      </c>
      <c r="W140" s="311">
        <f t="shared" si="14"/>
        <v>0</v>
      </c>
      <c r="X140" s="311">
        <f t="shared" si="14"/>
        <v>0</v>
      </c>
      <c r="Y140" s="311">
        <f t="shared" si="14"/>
        <v>0</v>
      </c>
      <c r="Z140" s="311">
        <f t="shared" si="14"/>
        <v>0</v>
      </c>
      <c r="AA140" s="311">
        <f t="shared" si="14"/>
        <v>0</v>
      </c>
      <c r="AB140" s="311">
        <f t="shared" si="14"/>
        <v>0</v>
      </c>
      <c r="AC140" s="87"/>
      <c r="AD140" s="87"/>
      <c r="AE140" s="87"/>
      <c r="AF140" s="109">
        <v>1</v>
      </c>
      <c r="AG140" s="109">
        <v>1</v>
      </c>
      <c r="AH140" s="84"/>
      <c r="AI140" s="66"/>
      <c r="AJ140" s="54"/>
      <c r="AK140" s="54"/>
      <c r="AL140" s="54"/>
    </row>
    <row r="141" spans="1:38" outlineLevel="2" x14ac:dyDescent="0.25">
      <c r="A141" s="54"/>
      <c r="B141" s="63"/>
      <c r="C141" s="56">
        <f t="shared" si="13"/>
        <v>3</v>
      </c>
      <c r="D141" s="84"/>
      <c r="E141" s="79"/>
      <c r="F141" s="79" t="s">
        <v>715</v>
      </c>
      <c r="G141" s="84"/>
      <c r="H141" s="87" t="s">
        <v>714</v>
      </c>
      <c r="I141" s="108" t="s">
        <v>623</v>
      </c>
      <c r="J141" s="108"/>
      <c r="K141" s="87"/>
      <c r="L141" s="87"/>
      <c r="M141" s="109">
        <v>0.1</v>
      </c>
      <c r="N141" s="109">
        <v>0.1</v>
      </c>
      <c r="O141" s="109">
        <v>0.1</v>
      </c>
      <c r="P141" s="109">
        <v>0.1</v>
      </c>
      <c r="Q141" s="87"/>
      <c r="R141" s="87"/>
      <c r="S141" s="87" t="s">
        <v>710</v>
      </c>
      <c r="T141" s="87"/>
      <c r="U141" s="311">
        <f t="shared" si="14"/>
        <v>0</v>
      </c>
      <c r="V141" s="311">
        <f t="shared" si="14"/>
        <v>0</v>
      </c>
      <c r="W141" s="311">
        <f t="shared" si="14"/>
        <v>0</v>
      </c>
      <c r="X141" s="311">
        <f t="shared" si="14"/>
        <v>0</v>
      </c>
      <c r="Y141" s="311">
        <f t="shared" si="14"/>
        <v>0</v>
      </c>
      <c r="Z141" s="311">
        <f t="shared" si="14"/>
        <v>0</v>
      </c>
      <c r="AA141" s="311">
        <f t="shared" si="14"/>
        <v>0</v>
      </c>
      <c r="AB141" s="311">
        <f t="shared" si="14"/>
        <v>0</v>
      </c>
      <c r="AC141" s="87"/>
      <c r="AD141" s="87"/>
      <c r="AE141" s="87"/>
      <c r="AF141" s="109">
        <v>1</v>
      </c>
      <c r="AG141" s="109">
        <v>1</v>
      </c>
      <c r="AH141" s="84"/>
      <c r="AI141" s="66"/>
      <c r="AJ141" s="54"/>
      <c r="AK141" s="54"/>
      <c r="AL141" s="54"/>
    </row>
    <row r="142" spans="1:38" outlineLevel="2" x14ac:dyDescent="0.25">
      <c r="A142" s="54"/>
      <c r="B142" s="63"/>
      <c r="C142" s="56">
        <f t="shared" si="13"/>
        <v>3</v>
      </c>
      <c r="D142" s="84"/>
      <c r="E142" s="79"/>
      <c r="F142" s="79" t="s">
        <v>716</v>
      </c>
      <c r="G142" s="84"/>
      <c r="H142" s="87" t="s">
        <v>717</v>
      </c>
      <c r="I142" s="108" t="s">
        <v>718</v>
      </c>
      <c r="J142" s="108"/>
      <c r="K142" s="109">
        <v>10.5</v>
      </c>
      <c r="L142" s="109">
        <v>10.5</v>
      </c>
      <c r="M142" s="109">
        <v>10.5</v>
      </c>
      <c r="N142" s="109">
        <v>10.5</v>
      </c>
      <c r="O142" s="109">
        <v>10.5</v>
      </c>
      <c r="P142" s="109">
        <v>10.5</v>
      </c>
      <c r="Q142" s="87"/>
      <c r="R142" s="87" t="s">
        <v>719</v>
      </c>
      <c r="S142" s="87" t="s">
        <v>710</v>
      </c>
      <c r="T142" s="87"/>
      <c r="U142" s="311">
        <f t="shared" si="14"/>
        <v>10.5</v>
      </c>
      <c r="V142" s="311">
        <f t="shared" si="14"/>
        <v>10.5</v>
      </c>
      <c r="W142" s="311">
        <f t="shared" si="14"/>
        <v>10.5</v>
      </c>
      <c r="X142" s="311">
        <f t="shared" si="14"/>
        <v>10.5</v>
      </c>
      <c r="Y142" s="311">
        <f t="shared" si="14"/>
        <v>10.5</v>
      </c>
      <c r="Z142" s="311">
        <f t="shared" si="14"/>
        <v>10.5</v>
      </c>
      <c r="AA142" s="311">
        <f t="shared" si="14"/>
        <v>10.5</v>
      </c>
      <c r="AB142" s="311">
        <f t="shared" si="14"/>
        <v>10.5</v>
      </c>
      <c r="AC142" s="87"/>
      <c r="AD142" s="87"/>
      <c r="AE142" s="87"/>
      <c r="AF142" s="109">
        <v>1</v>
      </c>
      <c r="AG142" s="109">
        <v>1</v>
      </c>
      <c r="AH142" s="84"/>
      <c r="AI142" s="66"/>
      <c r="AJ142" s="54"/>
      <c r="AK142" s="54"/>
      <c r="AL142" s="54"/>
    </row>
    <row r="143" spans="1:38" outlineLevel="2" x14ac:dyDescent="0.25">
      <c r="A143" s="54"/>
      <c r="B143" s="63"/>
      <c r="C143" s="56">
        <f t="shared" si="13"/>
        <v>3</v>
      </c>
      <c r="D143" s="84"/>
      <c r="E143" s="79"/>
      <c r="F143" s="79" t="s">
        <v>720</v>
      </c>
      <c r="G143" s="84"/>
      <c r="H143" s="87" t="s">
        <v>721</v>
      </c>
      <c r="I143" s="108" t="s">
        <v>623</v>
      </c>
      <c r="J143" s="108"/>
      <c r="K143" s="109">
        <v>1</v>
      </c>
      <c r="L143" s="109">
        <v>1</v>
      </c>
      <c r="M143" s="109">
        <v>1</v>
      </c>
      <c r="N143" s="109">
        <v>1</v>
      </c>
      <c r="O143" s="109">
        <v>1</v>
      </c>
      <c r="P143" s="109">
        <v>1</v>
      </c>
      <c r="Q143" s="87"/>
      <c r="R143" s="87" t="s">
        <v>710</v>
      </c>
      <c r="S143" s="87" t="s">
        <v>710</v>
      </c>
      <c r="T143" s="87"/>
      <c r="U143" s="311">
        <f t="shared" si="14"/>
        <v>1</v>
      </c>
      <c r="V143" s="311">
        <f t="shared" si="14"/>
        <v>1</v>
      </c>
      <c r="W143" s="311">
        <f t="shared" si="14"/>
        <v>1</v>
      </c>
      <c r="X143" s="311">
        <f t="shared" si="14"/>
        <v>1</v>
      </c>
      <c r="Y143" s="311">
        <f t="shared" si="14"/>
        <v>1</v>
      </c>
      <c r="Z143" s="311">
        <f t="shared" si="14"/>
        <v>1</v>
      </c>
      <c r="AA143" s="311">
        <f t="shared" si="14"/>
        <v>1</v>
      </c>
      <c r="AB143" s="311">
        <f t="shared" si="14"/>
        <v>1</v>
      </c>
      <c r="AC143" s="87"/>
      <c r="AD143" s="87"/>
      <c r="AE143" s="87"/>
      <c r="AF143" s="109">
        <v>1</v>
      </c>
      <c r="AG143" s="109">
        <v>1</v>
      </c>
      <c r="AH143" s="84"/>
      <c r="AI143" s="66"/>
      <c r="AJ143" s="54"/>
      <c r="AK143" s="54"/>
      <c r="AL143" s="54"/>
    </row>
    <row r="144" spans="1:38" outlineLevel="2" x14ac:dyDescent="0.25">
      <c r="A144" s="54"/>
      <c r="B144" s="63"/>
      <c r="C144" s="56">
        <f t="shared" si="13"/>
        <v>3</v>
      </c>
      <c r="D144" s="84"/>
      <c r="E144" s="79"/>
      <c r="F144" s="79" t="s">
        <v>722</v>
      </c>
      <c r="G144" s="84"/>
      <c r="H144" s="87" t="s">
        <v>723</v>
      </c>
      <c r="I144" s="108" t="s">
        <v>623</v>
      </c>
      <c r="J144" s="108"/>
      <c r="K144" s="109">
        <v>0.35</v>
      </c>
      <c r="L144" s="109">
        <v>0.35</v>
      </c>
      <c r="M144" s="109">
        <v>0.35</v>
      </c>
      <c r="N144" s="109">
        <v>0.35</v>
      </c>
      <c r="O144" s="109">
        <v>0.35</v>
      </c>
      <c r="P144" s="109">
        <v>0.35</v>
      </c>
      <c r="Q144" s="87"/>
      <c r="R144" s="87" t="s">
        <v>710</v>
      </c>
      <c r="S144" s="87" t="s">
        <v>710</v>
      </c>
      <c r="T144" s="87"/>
      <c r="U144" s="311">
        <f t="shared" si="14"/>
        <v>0.35</v>
      </c>
      <c r="V144" s="311">
        <f t="shared" si="14"/>
        <v>0.35</v>
      </c>
      <c r="W144" s="311">
        <f t="shared" si="14"/>
        <v>0.35</v>
      </c>
      <c r="X144" s="311">
        <f t="shared" si="14"/>
        <v>0.35</v>
      </c>
      <c r="Y144" s="311">
        <f t="shared" si="14"/>
        <v>0.35</v>
      </c>
      <c r="Z144" s="311">
        <f t="shared" si="14"/>
        <v>0.35</v>
      </c>
      <c r="AA144" s="311">
        <f t="shared" si="14"/>
        <v>0.35</v>
      </c>
      <c r="AB144" s="311">
        <f t="shared" si="14"/>
        <v>0.35</v>
      </c>
      <c r="AC144" s="87"/>
      <c r="AD144" s="87"/>
      <c r="AE144" s="87"/>
      <c r="AF144" s="109">
        <v>1</v>
      </c>
      <c r="AG144" s="109">
        <v>1</v>
      </c>
      <c r="AH144" s="84"/>
      <c r="AI144" s="66"/>
      <c r="AJ144" s="54"/>
      <c r="AK144" s="54"/>
      <c r="AL144" s="54"/>
    </row>
    <row r="145" spans="1:38" outlineLevel="2" collapsed="1" x14ac:dyDescent="0.25">
      <c r="A145" s="54"/>
      <c r="B145" s="63"/>
      <c r="C145" s="56">
        <f t="shared" si="13"/>
        <v>3</v>
      </c>
      <c r="D145" s="84"/>
      <c r="E145" s="79"/>
      <c r="F145" s="79" t="s">
        <v>724</v>
      </c>
      <c r="G145" s="84"/>
      <c r="H145" s="87" t="s">
        <v>725</v>
      </c>
      <c r="I145" s="108" t="s">
        <v>623</v>
      </c>
      <c r="J145" s="108"/>
      <c r="K145" s="109">
        <v>1</v>
      </c>
      <c r="L145" s="109">
        <v>1</v>
      </c>
      <c r="M145" s="109">
        <v>1</v>
      </c>
      <c r="N145" s="109">
        <v>1</v>
      </c>
      <c r="O145" s="109">
        <v>1</v>
      </c>
      <c r="P145" s="109">
        <v>1</v>
      </c>
      <c r="Q145" s="87"/>
      <c r="R145" s="87" t="s">
        <v>710</v>
      </c>
      <c r="S145" s="87" t="s">
        <v>710</v>
      </c>
      <c r="T145" s="87"/>
      <c r="U145" s="311">
        <f t="shared" si="14"/>
        <v>1</v>
      </c>
      <c r="V145" s="311">
        <f t="shared" si="14"/>
        <v>1</v>
      </c>
      <c r="W145" s="311">
        <f t="shared" si="14"/>
        <v>1</v>
      </c>
      <c r="X145" s="311">
        <f t="shared" si="14"/>
        <v>1</v>
      </c>
      <c r="Y145" s="311">
        <f t="shared" si="14"/>
        <v>1</v>
      </c>
      <c r="Z145" s="311">
        <f t="shared" si="14"/>
        <v>1</v>
      </c>
      <c r="AA145" s="311">
        <f t="shared" si="14"/>
        <v>1</v>
      </c>
      <c r="AB145" s="311">
        <f t="shared" si="14"/>
        <v>1</v>
      </c>
      <c r="AC145" s="87"/>
      <c r="AD145" s="87"/>
      <c r="AE145" s="87"/>
      <c r="AF145" s="109">
        <v>1</v>
      </c>
      <c r="AG145" s="109">
        <v>1</v>
      </c>
      <c r="AH145" s="84"/>
      <c r="AI145" s="66"/>
      <c r="AJ145" s="54"/>
      <c r="AK145" s="54"/>
      <c r="AL145" s="54"/>
    </row>
    <row r="146" spans="1:38" hidden="1" outlineLevel="3" x14ac:dyDescent="0.25">
      <c r="A146" s="54"/>
      <c r="B146" s="63"/>
      <c r="C146" s="56">
        <f>INT($C$40)+3</f>
        <v>4</v>
      </c>
      <c r="D146" s="84"/>
      <c r="E146" s="79"/>
      <c r="F146" s="79" t="s">
        <v>726</v>
      </c>
      <c r="G146" s="84"/>
      <c r="H146" s="87" t="s">
        <v>727</v>
      </c>
      <c r="I146" s="108"/>
      <c r="J146" s="108"/>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728</v>
      </c>
      <c r="G147" s="84"/>
      <c r="H147" s="87" t="s">
        <v>727</v>
      </c>
      <c r="I147" s="108"/>
      <c r="J147" s="108"/>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729</v>
      </c>
      <c r="G148" s="84"/>
      <c r="H148" s="87" t="s">
        <v>727</v>
      </c>
      <c r="I148" s="108"/>
      <c r="J148" s="108"/>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730</v>
      </c>
      <c r="G149" s="84"/>
      <c r="H149" s="87" t="s">
        <v>727</v>
      </c>
      <c r="I149" s="108"/>
      <c r="J149" s="108"/>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731</v>
      </c>
      <c r="G150" s="84"/>
      <c r="H150" s="87" t="s">
        <v>727</v>
      </c>
      <c r="I150" s="108"/>
      <c r="J150" s="108"/>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25">
      <c r="A151" s="54"/>
      <c r="B151" s="63"/>
      <c r="C151" s="56">
        <f>INT($C$40)+2</f>
        <v>3</v>
      </c>
      <c r="D151" s="84"/>
      <c r="E151" s="79"/>
      <c r="F151" s="79" t="s">
        <v>732</v>
      </c>
      <c r="G151" s="84"/>
      <c r="H151" s="87" t="s">
        <v>733</v>
      </c>
      <c r="I151" s="108" t="s">
        <v>718</v>
      </c>
      <c r="J151" s="108"/>
      <c r="K151" s="109">
        <v>11.5</v>
      </c>
      <c r="L151" s="109">
        <v>11.5</v>
      </c>
      <c r="M151" s="109">
        <v>11.5</v>
      </c>
      <c r="N151" s="109">
        <v>11.5</v>
      </c>
      <c r="O151" s="109">
        <v>11.5</v>
      </c>
      <c r="P151" s="109">
        <v>11.5</v>
      </c>
      <c r="Q151" s="87"/>
      <c r="R151" s="87" t="s">
        <v>734</v>
      </c>
      <c r="S151" s="87"/>
      <c r="T151" s="87"/>
      <c r="U151" s="311">
        <f t="shared" ref="U151:AB153" si="15">INDEX($K151:$Q151,1,U$54)</f>
        <v>11.5</v>
      </c>
      <c r="V151" s="311">
        <f t="shared" si="15"/>
        <v>11.5</v>
      </c>
      <c r="W151" s="311">
        <f t="shared" si="15"/>
        <v>11.5</v>
      </c>
      <c r="X151" s="311">
        <f t="shared" si="15"/>
        <v>11.5</v>
      </c>
      <c r="Y151" s="311">
        <f t="shared" si="15"/>
        <v>11.5</v>
      </c>
      <c r="Z151" s="311">
        <f t="shared" si="15"/>
        <v>11.5</v>
      </c>
      <c r="AA151" s="311">
        <f t="shared" si="15"/>
        <v>11.5</v>
      </c>
      <c r="AB151" s="311">
        <f t="shared" si="15"/>
        <v>11.5</v>
      </c>
      <c r="AC151" s="87"/>
      <c r="AD151" s="87"/>
      <c r="AE151" s="87"/>
      <c r="AF151" s="109">
        <v>1</v>
      </c>
      <c r="AG151" s="109">
        <v>1</v>
      </c>
      <c r="AH151" s="84"/>
      <c r="AI151" s="66"/>
      <c r="AJ151" s="54"/>
      <c r="AK151" s="54"/>
      <c r="AL151" s="54"/>
    </row>
    <row r="152" spans="1:38" outlineLevel="2" x14ac:dyDescent="0.25">
      <c r="A152" s="54"/>
      <c r="B152" s="63"/>
      <c r="C152" s="56">
        <f>INT($C$40)+2</f>
        <v>3</v>
      </c>
      <c r="D152" s="84"/>
      <c r="E152" s="79"/>
      <c r="F152" s="79" t="s">
        <v>735</v>
      </c>
      <c r="G152" s="84"/>
      <c r="H152" s="87" t="s">
        <v>736</v>
      </c>
      <c r="I152" s="108" t="s">
        <v>718</v>
      </c>
      <c r="J152" s="108"/>
      <c r="K152" s="109">
        <v>0</v>
      </c>
      <c r="L152" s="109">
        <v>0</v>
      </c>
      <c r="M152" s="109">
        <v>0</v>
      </c>
      <c r="N152" s="109">
        <v>0</v>
      </c>
      <c r="O152" s="109">
        <v>0</v>
      </c>
      <c r="P152" s="109">
        <v>0</v>
      </c>
      <c r="Q152" s="87"/>
      <c r="R152" s="87" t="s">
        <v>737</v>
      </c>
      <c r="S152" s="87" t="s">
        <v>737</v>
      </c>
      <c r="T152" s="87"/>
      <c r="U152" s="311">
        <f t="shared" si="15"/>
        <v>0</v>
      </c>
      <c r="V152" s="311">
        <f t="shared" si="15"/>
        <v>0</v>
      </c>
      <c r="W152" s="311">
        <f t="shared" si="15"/>
        <v>0</v>
      </c>
      <c r="X152" s="311">
        <f t="shared" si="15"/>
        <v>0</v>
      </c>
      <c r="Y152" s="311">
        <f t="shared" si="15"/>
        <v>0</v>
      </c>
      <c r="Z152" s="311">
        <f t="shared" si="15"/>
        <v>0</v>
      </c>
      <c r="AA152" s="311">
        <f t="shared" si="15"/>
        <v>0</v>
      </c>
      <c r="AB152" s="311">
        <f t="shared" si="15"/>
        <v>0</v>
      </c>
      <c r="AC152" s="87"/>
      <c r="AD152" s="87"/>
      <c r="AE152" s="87"/>
      <c r="AF152" s="109">
        <v>1</v>
      </c>
      <c r="AG152" s="109">
        <v>1</v>
      </c>
      <c r="AH152" s="84"/>
      <c r="AI152" s="66"/>
      <c r="AJ152" s="54"/>
      <c r="AK152" s="54"/>
      <c r="AL152" s="54"/>
    </row>
    <row r="153" spans="1:38" outlineLevel="2" x14ac:dyDescent="0.25">
      <c r="A153" s="54"/>
      <c r="B153" s="63"/>
      <c r="C153" s="56">
        <f>INT($C$40)+2</f>
        <v>3</v>
      </c>
      <c r="D153" s="84"/>
      <c r="E153" s="79"/>
      <c r="F153" s="79" t="s">
        <v>738</v>
      </c>
      <c r="G153" s="84"/>
      <c r="H153" s="87" t="s">
        <v>739</v>
      </c>
      <c r="I153" s="108" t="s">
        <v>718</v>
      </c>
      <c r="J153" s="108"/>
      <c r="K153" s="109">
        <f t="shared" ref="K153:P153" si="16">K$132-(1/K$134)</f>
        <v>0.21176470588235297</v>
      </c>
      <c r="L153" s="109">
        <f t="shared" si="16"/>
        <v>0.21176470588235297</v>
      </c>
      <c r="M153" s="109">
        <f t="shared" si="16"/>
        <v>0.21176470588235297</v>
      </c>
      <c r="N153" s="109">
        <f t="shared" si="16"/>
        <v>0.21176470588235297</v>
      </c>
      <c r="O153" s="109">
        <f t="shared" si="16"/>
        <v>0.21176470588235297</v>
      </c>
      <c r="P153" s="109">
        <f t="shared" si="16"/>
        <v>0.21176470588235297</v>
      </c>
      <c r="Q153" s="87"/>
      <c r="R153" s="87" t="s">
        <v>740</v>
      </c>
      <c r="S153" s="87" t="s">
        <v>740</v>
      </c>
      <c r="T153" s="87"/>
      <c r="U153" s="311">
        <f t="shared" si="15"/>
        <v>0.21176470588235297</v>
      </c>
      <c r="V153" s="311">
        <f t="shared" si="15"/>
        <v>0.21176470588235297</v>
      </c>
      <c r="W153" s="311">
        <f t="shared" si="15"/>
        <v>0.21176470588235297</v>
      </c>
      <c r="X153" s="311">
        <f t="shared" si="15"/>
        <v>0.21176470588235297</v>
      </c>
      <c r="Y153" s="311">
        <f t="shared" si="15"/>
        <v>0.21176470588235297</v>
      </c>
      <c r="Z153" s="311">
        <f t="shared" si="15"/>
        <v>0.21176470588235297</v>
      </c>
      <c r="AA153" s="311">
        <f t="shared" si="15"/>
        <v>0.21176470588235297</v>
      </c>
      <c r="AB153" s="311">
        <f t="shared" si="15"/>
        <v>0.21176470588235297</v>
      </c>
      <c r="AC153" s="87"/>
      <c r="AD153" s="87"/>
      <c r="AE153" s="87"/>
      <c r="AF153" s="109">
        <v>1</v>
      </c>
      <c r="AG153" s="109">
        <v>1</v>
      </c>
      <c r="AH153" s="84"/>
      <c r="AI153" s="66"/>
      <c r="AJ153" s="54"/>
      <c r="AK153" s="54"/>
      <c r="AL153" s="54"/>
    </row>
    <row r="154" spans="1:38" outlineLevel="1" x14ac:dyDescent="0.25">
      <c r="A154" s="54"/>
      <c r="B154" s="63"/>
      <c r="C154" s="56">
        <f>INT($C$40)+1</f>
        <v>2</v>
      </c>
      <c r="D154" s="84"/>
      <c r="E154" s="79"/>
      <c r="F154" s="314" t="s">
        <v>741</v>
      </c>
      <c r="G154" s="84"/>
      <c r="H154" s="304" t="s">
        <v>742</v>
      </c>
      <c r="I154" s="108"/>
      <c r="J154" s="108" t="s">
        <v>642</v>
      </c>
      <c r="K154" s="87"/>
      <c r="L154" s="87"/>
      <c r="M154" s="87"/>
      <c r="N154" s="87"/>
      <c r="O154" s="87"/>
      <c r="P154" s="87"/>
      <c r="Q154" s="87"/>
      <c r="R154" s="87"/>
      <c r="S154" s="87"/>
      <c r="T154" s="87"/>
      <c r="U154" s="91">
        <v>18</v>
      </c>
      <c r="V154" s="87"/>
      <c r="W154" s="91">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743</v>
      </c>
      <c r="F155" s="79" t="s">
        <v>744</v>
      </c>
      <c r="G155" s="84"/>
      <c r="H155" s="87" t="s">
        <v>616</v>
      </c>
      <c r="I155" s="108"/>
      <c r="J155" s="108"/>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25">
      <c r="A156" s="54"/>
      <c r="B156" s="63"/>
      <c r="C156" s="56">
        <f t="shared" ref="C156:C172" si="17">INT($C$40)+2</f>
        <v>3</v>
      </c>
      <c r="D156" s="84"/>
      <c r="E156" s="79"/>
      <c r="F156" s="79" t="s">
        <v>745</v>
      </c>
      <c r="G156" s="84"/>
      <c r="H156" s="87" t="s">
        <v>746</v>
      </c>
      <c r="I156" s="108" t="s">
        <v>623</v>
      </c>
      <c r="J156" s="108"/>
      <c r="K156" s="109">
        <v>0.5</v>
      </c>
      <c r="L156" s="109">
        <v>0.5</v>
      </c>
      <c r="M156" s="109">
        <v>0.5</v>
      </c>
      <c r="N156" s="109">
        <v>0.5</v>
      </c>
      <c r="O156" s="109">
        <v>0.5</v>
      </c>
      <c r="P156" s="109">
        <v>0.5</v>
      </c>
      <c r="Q156" s="87"/>
      <c r="R156" s="87" t="s">
        <v>747</v>
      </c>
      <c r="S156" s="87" t="s">
        <v>747</v>
      </c>
      <c r="T156" s="87"/>
      <c r="U156" s="311">
        <f t="shared" ref="U156:AB172" si="18">INDEX($K156:$Q156,1,U$54)</f>
        <v>0.5</v>
      </c>
      <c r="V156" s="311">
        <f t="shared" si="18"/>
        <v>0.5</v>
      </c>
      <c r="W156" s="311">
        <f t="shared" si="18"/>
        <v>0.5</v>
      </c>
      <c r="X156" s="311">
        <f t="shared" si="18"/>
        <v>0.5</v>
      </c>
      <c r="Y156" s="311">
        <f t="shared" si="18"/>
        <v>0.5</v>
      </c>
      <c r="Z156" s="311">
        <f t="shared" si="18"/>
        <v>0.5</v>
      </c>
      <c r="AA156" s="311">
        <f t="shared" si="18"/>
        <v>0.5</v>
      </c>
      <c r="AB156" s="311">
        <f t="shared" si="18"/>
        <v>0.5</v>
      </c>
      <c r="AC156" s="87"/>
      <c r="AD156" s="87"/>
      <c r="AE156" s="87"/>
      <c r="AF156" s="109">
        <v>1</v>
      </c>
      <c r="AG156" s="109">
        <v>1</v>
      </c>
      <c r="AH156" s="84"/>
      <c r="AI156" s="66"/>
      <c r="AJ156" s="54"/>
      <c r="AK156" s="54"/>
      <c r="AL156" s="54"/>
    </row>
    <row r="157" spans="1:38" outlineLevel="2" x14ac:dyDescent="0.25">
      <c r="A157" s="54"/>
      <c r="B157" s="63"/>
      <c r="C157" s="56">
        <f t="shared" si="17"/>
        <v>3</v>
      </c>
      <c r="D157" s="84"/>
      <c r="E157" s="79"/>
      <c r="F157" s="79" t="s">
        <v>748</v>
      </c>
      <c r="G157" s="84"/>
      <c r="H157" s="87" t="s">
        <v>749</v>
      </c>
      <c r="I157" s="108" t="s">
        <v>750</v>
      </c>
      <c r="J157" s="108"/>
      <c r="K157" s="109">
        <v>0.02</v>
      </c>
      <c r="L157" s="109">
        <v>0.02</v>
      </c>
      <c r="M157" s="109">
        <v>0.02</v>
      </c>
      <c r="N157" s="109">
        <v>0.02</v>
      </c>
      <c r="O157" s="109">
        <v>0.02</v>
      </c>
      <c r="P157" s="109">
        <v>0.02</v>
      </c>
      <c r="Q157" s="87"/>
      <c r="R157" s="87" t="s">
        <v>751</v>
      </c>
      <c r="S157" s="87" t="s">
        <v>751</v>
      </c>
      <c r="T157" s="87"/>
      <c r="U157" s="311">
        <f t="shared" si="18"/>
        <v>0.02</v>
      </c>
      <c r="V157" s="311">
        <f t="shared" si="18"/>
        <v>0.02</v>
      </c>
      <c r="W157" s="311">
        <f t="shared" si="18"/>
        <v>0.02</v>
      </c>
      <c r="X157" s="311">
        <f t="shared" si="18"/>
        <v>0.02</v>
      </c>
      <c r="Y157" s="311">
        <f t="shared" si="18"/>
        <v>0.02</v>
      </c>
      <c r="Z157" s="311">
        <f t="shared" si="18"/>
        <v>0.02</v>
      </c>
      <c r="AA157" s="311">
        <f t="shared" si="18"/>
        <v>0.02</v>
      </c>
      <c r="AB157" s="311">
        <f t="shared" si="18"/>
        <v>0.02</v>
      </c>
      <c r="AC157" s="87"/>
      <c r="AD157" s="87"/>
      <c r="AE157" s="87"/>
      <c r="AF157" s="109">
        <v>1</v>
      </c>
      <c r="AG157" s="109">
        <v>1</v>
      </c>
      <c r="AH157" s="84"/>
      <c r="AI157" s="66"/>
      <c r="AJ157" s="54"/>
      <c r="AK157" s="54"/>
      <c r="AL157" s="54"/>
    </row>
    <row r="158" spans="1:38" outlineLevel="2" x14ac:dyDescent="0.25">
      <c r="A158" s="54"/>
      <c r="B158" s="63"/>
      <c r="C158" s="56">
        <f t="shared" si="17"/>
        <v>3</v>
      </c>
      <c r="D158" s="84"/>
      <c r="E158" s="79"/>
      <c r="F158" s="79" t="s">
        <v>752</v>
      </c>
      <c r="G158" s="84"/>
      <c r="H158" s="87" t="s">
        <v>753</v>
      </c>
      <c r="I158" s="108" t="s">
        <v>623</v>
      </c>
      <c r="J158" s="108"/>
      <c r="K158" s="109">
        <v>0.85</v>
      </c>
      <c r="L158" s="109">
        <v>0.85</v>
      </c>
      <c r="M158" s="109">
        <v>0.85</v>
      </c>
      <c r="N158" s="109">
        <v>0.85</v>
      </c>
      <c r="O158" s="109">
        <v>0.85</v>
      </c>
      <c r="P158" s="109">
        <v>0.85</v>
      </c>
      <c r="Q158" s="87"/>
      <c r="R158" s="87" t="s">
        <v>751</v>
      </c>
      <c r="S158" s="87" t="s">
        <v>751</v>
      </c>
      <c r="T158" s="87"/>
      <c r="U158" s="311">
        <f t="shared" si="18"/>
        <v>0.85</v>
      </c>
      <c r="V158" s="311">
        <f t="shared" si="18"/>
        <v>0.85</v>
      </c>
      <c r="W158" s="311">
        <f t="shared" si="18"/>
        <v>0.85</v>
      </c>
      <c r="X158" s="311">
        <f t="shared" si="18"/>
        <v>0.85</v>
      </c>
      <c r="Y158" s="311">
        <f t="shared" si="18"/>
        <v>0.85</v>
      </c>
      <c r="Z158" s="311">
        <f t="shared" si="18"/>
        <v>0.85</v>
      </c>
      <c r="AA158" s="311">
        <f t="shared" si="18"/>
        <v>0.85</v>
      </c>
      <c r="AB158" s="311">
        <f t="shared" si="18"/>
        <v>0.85</v>
      </c>
      <c r="AC158" s="87"/>
      <c r="AD158" s="87"/>
      <c r="AE158" s="87"/>
      <c r="AF158" s="109">
        <v>1</v>
      </c>
      <c r="AG158" s="109">
        <v>1</v>
      </c>
      <c r="AH158" s="84"/>
      <c r="AI158" s="66"/>
      <c r="AJ158" s="54"/>
      <c r="AK158" s="54"/>
      <c r="AL158" s="54"/>
    </row>
    <row r="159" spans="1:38" outlineLevel="2" x14ac:dyDescent="0.25">
      <c r="A159" s="54"/>
      <c r="B159" s="63"/>
      <c r="C159" s="56">
        <f t="shared" si="17"/>
        <v>3</v>
      </c>
      <c r="D159" s="84"/>
      <c r="E159" s="79"/>
      <c r="F159" s="79" t="s">
        <v>754</v>
      </c>
      <c r="G159" s="84"/>
      <c r="H159" s="87" t="s">
        <v>755</v>
      </c>
      <c r="I159" s="108" t="s">
        <v>697</v>
      </c>
      <c r="J159" s="108"/>
      <c r="K159" s="109">
        <v>0.7</v>
      </c>
      <c r="L159" s="109">
        <v>0.7</v>
      </c>
      <c r="M159" s="109">
        <v>0.7</v>
      </c>
      <c r="N159" s="109">
        <v>0.7</v>
      </c>
      <c r="O159" s="109">
        <v>0.7</v>
      </c>
      <c r="P159" s="109">
        <v>0.7</v>
      </c>
      <c r="Q159" s="87"/>
      <c r="R159" s="87"/>
      <c r="S159" s="87"/>
      <c r="T159" s="87"/>
      <c r="U159" s="311">
        <f t="shared" si="18"/>
        <v>0.7</v>
      </c>
      <c r="V159" s="311">
        <f t="shared" si="18"/>
        <v>0.7</v>
      </c>
      <c r="W159" s="311">
        <f t="shared" si="18"/>
        <v>0.7</v>
      </c>
      <c r="X159" s="311">
        <f t="shared" si="18"/>
        <v>0.7</v>
      </c>
      <c r="Y159" s="311">
        <f t="shared" si="18"/>
        <v>0.7</v>
      </c>
      <c r="Z159" s="311">
        <f t="shared" si="18"/>
        <v>0.7</v>
      </c>
      <c r="AA159" s="311">
        <f t="shared" si="18"/>
        <v>0.7</v>
      </c>
      <c r="AB159" s="311">
        <f t="shared" si="18"/>
        <v>0.7</v>
      </c>
      <c r="AC159" s="87"/>
      <c r="AD159" s="87"/>
      <c r="AE159" s="87"/>
      <c r="AF159" s="109">
        <v>1</v>
      </c>
      <c r="AG159" s="109">
        <v>1</v>
      </c>
      <c r="AH159" s="84"/>
      <c r="AI159" s="66"/>
      <c r="AJ159" s="54"/>
      <c r="AK159" s="54"/>
      <c r="AL159" s="54"/>
    </row>
    <row r="160" spans="1:38" outlineLevel="2" x14ac:dyDescent="0.25">
      <c r="A160" s="54"/>
      <c r="B160" s="63"/>
      <c r="C160" s="56">
        <f t="shared" si="17"/>
        <v>3</v>
      </c>
      <c r="D160" s="84"/>
      <c r="E160" s="79"/>
      <c r="F160" s="79" t="s">
        <v>756</v>
      </c>
      <c r="G160" s="84"/>
      <c r="H160" s="87" t="s">
        <v>757</v>
      </c>
      <c r="I160" s="108" t="s">
        <v>623</v>
      </c>
      <c r="J160" s="108"/>
      <c r="K160" s="109">
        <v>0.4</v>
      </c>
      <c r="L160" s="109">
        <v>0.4</v>
      </c>
      <c r="M160" s="109">
        <v>0.4</v>
      </c>
      <c r="N160" s="109">
        <v>0.4</v>
      </c>
      <c r="O160" s="109">
        <v>0.4</v>
      </c>
      <c r="P160" s="109">
        <v>0.4</v>
      </c>
      <c r="Q160" s="87"/>
      <c r="R160" s="87" t="s">
        <v>751</v>
      </c>
      <c r="S160" s="87" t="s">
        <v>751</v>
      </c>
      <c r="T160" s="87"/>
      <c r="U160" s="311">
        <f t="shared" si="18"/>
        <v>0.4</v>
      </c>
      <c r="V160" s="311">
        <f t="shared" si="18"/>
        <v>0.4</v>
      </c>
      <c r="W160" s="311">
        <f t="shared" si="18"/>
        <v>0.4</v>
      </c>
      <c r="X160" s="311">
        <f t="shared" si="18"/>
        <v>0.4</v>
      </c>
      <c r="Y160" s="311">
        <f t="shared" si="18"/>
        <v>0.4</v>
      </c>
      <c r="Z160" s="311">
        <f t="shared" si="18"/>
        <v>0.4</v>
      </c>
      <c r="AA160" s="311">
        <f t="shared" si="18"/>
        <v>0.4</v>
      </c>
      <c r="AB160" s="311">
        <f t="shared" si="18"/>
        <v>0.4</v>
      </c>
      <c r="AC160" s="87"/>
      <c r="AD160" s="87"/>
      <c r="AE160" s="87"/>
      <c r="AF160" s="109">
        <v>1</v>
      </c>
      <c r="AG160" s="109">
        <v>1</v>
      </c>
      <c r="AH160" s="84"/>
      <c r="AI160" s="66"/>
      <c r="AJ160" s="54"/>
      <c r="AK160" s="54"/>
      <c r="AL160" s="54"/>
    </row>
    <row r="161" spans="1:38" outlineLevel="2" x14ac:dyDescent="0.25">
      <c r="A161" s="54"/>
      <c r="B161" s="63"/>
      <c r="C161" s="56">
        <f t="shared" si="17"/>
        <v>3</v>
      </c>
      <c r="D161" s="84"/>
      <c r="E161" s="79"/>
      <c r="F161" s="79" t="s">
        <v>758</v>
      </c>
      <c r="G161" s="84"/>
      <c r="H161" s="87" t="s">
        <v>759</v>
      </c>
      <c r="I161" s="108" t="s">
        <v>750</v>
      </c>
      <c r="J161" s="108"/>
      <c r="K161" s="109">
        <v>0.02</v>
      </c>
      <c r="L161" s="109">
        <v>0.02</v>
      </c>
      <c r="M161" s="109">
        <v>0.02</v>
      </c>
      <c r="N161" s="109">
        <v>0.02</v>
      </c>
      <c r="O161" s="109">
        <v>0.02</v>
      </c>
      <c r="P161" s="109">
        <v>0.02</v>
      </c>
      <c r="Q161" s="87"/>
      <c r="R161" s="87" t="s">
        <v>751</v>
      </c>
      <c r="S161" s="87" t="s">
        <v>751</v>
      </c>
      <c r="T161" s="87"/>
      <c r="U161" s="311">
        <f t="shared" si="18"/>
        <v>0.02</v>
      </c>
      <c r="V161" s="311">
        <f t="shared" si="18"/>
        <v>0.02</v>
      </c>
      <c r="W161" s="311">
        <f t="shared" si="18"/>
        <v>0.02</v>
      </c>
      <c r="X161" s="311">
        <f t="shared" si="18"/>
        <v>0.02</v>
      </c>
      <c r="Y161" s="311">
        <f t="shared" si="18"/>
        <v>0.02</v>
      </c>
      <c r="Z161" s="311">
        <f t="shared" si="18"/>
        <v>0.02</v>
      </c>
      <c r="AA161" s="311">
        <f t="shared" si="18"/>
        <v>0.02</v>
      </c>
      <c r="AB161" s="311">
        <f t="shared" si="18"/>
        <v>0.02</v>
      </c>
      <c r="AC161" s="87"/>
      <c r="AD161" s="87"/>
      <c r="AE161" s="87"/>
      <c r="AF161" s="109">
        <v>1</v>
      </c>
      <c r="AG161" s="109">
        <v>1</v>
      </c>
      <c r="AH161" s="84"/>
      <c r="AI161" s="66"/>
      <c r="AJ161" s="54"/>
      <c r="AK161" s="54"/>
      <c r="AL161" s="54"/>
    </row>
    <row r="162" spans="1:38" outlineLevel="2" x14ac:dyDescent="0.25">
      <c r="A162" s="54"/>
      <c r="B162" s="63"/>
      <c r="C162" s="56">
        <f t="shared" si="17"/>
        <v>3</v>
      </c>
      <c r="D162" s="84"/>
      <c r="E162" s="79"/>
      <c r="F162" s="79" t="s">
        <v>760</v>
      </c>
      <c r="G162" s="84"/>
      <c r="H162" s="87" t="s">
        <v>761</v>
      </c>
      <c r="I162" s="108" t="s">
        <v>697</v>
      </c>
      <c r="J162" s="108"/>
      <c r="K162" s="109">
        <v>0.6</v>
      </c>
      <c r="L162" s="109">
        <v>0.6</v>
      </c>
      <c r="M162" s="109">
        <v>0.6</v>
      </c>
      <c r="N162" s="109">
        <v>0.6</v>
      </c>
      <c r="O162" s="109">
        <v>0.6</v>
      </c>
      <c r="P162" s="109">
        <v>0.6</v>
      </c>
      <c r="Q162" s="87"/>
      <c r="R162" s="87" t="s">
        <v>751</v>
      </c>
      <c r="S162" s="87" t="s">
        <v>751</v>
      </c>
      <c r="T162" s="87"/>
      <c r="U162" s="311">
        <f t="shared" si="18"/>
        <v>0.6</v>
      </c>
      <c r="V162" s="311">
        <f t="shared" si="18"/>
        <v>0.6</v>
      </c>
      <c r="W162" s="311">
        <f t="shared" si="18"/>
        <v>0.6</v>
      </c>
      <c r="X162" s="311">
        <f t="shared" si="18"/>
        <v>0.6</v>
      </c>
      <c r="Y162" s="311">
        <f t="shared" si="18"/>
        <v>0.6</v>
      </c>
      <c r="Z162" s="311">
        <f t="shared" si="18"/>
        <v>0.6</v>
      </c>
      <c r="AA162" s="311">
        <f t="shared" si="18"/>
        <v>0.6</v>
      </c>
      <c r="AB162" s="311">
        <f t="shared" si="18"/>
        <v>0.6</v>
      </c>
      <c r="AC162" s="87"/>
      <c r="AD162" s="87"/>
      <c r="AE162" s="87"/>
      <c r="AF162" s="109">
        <v>1</v>
      </c>
      <c r="AG162" s="109">
        <v>1</v>
      </c>
      <c r="AH162" s="84"/>
      <c r="AI162" s="66"/>
      <c r="AJ162" s="54"/>
      <c r="AK162" s="54"/>
      <c r="AL162" s="54"/>
    </row>
    <row r="163" spans="1:38" outlineLevel="2" x14ac:dyDescent="0.25">
      <c r="A163" s="54"/>
      <c r="B163" s="63"/>
      <c r="C163" s="56">
        <f t="shared" si="17"/>
        <v>3</v>
      </c>
      <c r="D163" s="84"/>
      <c r="E163" s="79"/>
      <c r="F163" s="79" t="s">
        <v>762</v>
      </c>
      <c r="G163" s="84"/>
      <c r="H163" s="87" t="s">
        <v>763</v>
      </c>
      <c r="I163" s="108" t="s">
        <v>697</v>
      </c>
      <c r="J163" s="108"/>
      <c r="K163" s="109">
        <v>0.13300000000000001</v>
      </c>
      <c r="L163" s="109">
        <v>0.13300000000000001</v>
      </c>
      <c r="M163" s="109">
        <v>0.13300000000000001</v>
      </c>
      <c r="N163" s="109">
        <v>0.13300000000000001</v>
      </c>
      <c r="O163" s="109">
        <v>0.13300000000000001</v>
      </c>
      <c r="P163" s="109">
        <v>0.13300000000000001</v>
      </c>
      <c r="Q163" s="87"/>
      <c r="R163" s="87" t="s">
        <v>634</v>
      </c>
      <c r="S163" s="87" t="s">
        <v>634</v>
      </c>
      <c r="T163" s="87"/>
      <c r="U163" s="311">
        <f t="shared" si="18"/>
        <v>0.13300000000000001</v>
      </c>
      <c r="V163" s="311">
        <f t="shared" si="18"/>
        <v>0.13300000000000001</v>
      </c>
      <c r="W163" s="311">
        <f t="shared" si="18"/>
        <v>0.13300000000000001</v>
      </c>
      <c r="X163" s="311">
        <f t="shared" si="18"/>
        <v>0.13300000000000001</v>
      </c>
      <c r="Y163" s="311">
        <f t="shared" si="18"/>
        <v>0.13300000000000001</v>
      </c>
      <c r="Z163" s="311">
        <f t="shared" si="18"/>
        <v>0.13300000000000001</v>
      </c>
      <c r="AA163" s="311">
        <f t="shared" si="18"/>
        <v>0.13300000000000001</v>
      </c>
      <c r="AB163" s="311">
        <f t="shared" si="18"/>
        <v>0.13300000000000001</v>
      </c>
      <c r="AC163" s="87"/>
      <c r="AD163" s="87"/>
      <c r="AE163" s="87"/>
      <c r="AF163" s="109">
        <v>1</v>
      </c>
      <c r="AG163" s="109">
        <v>1</v>
      </c>
      <c r="AH163" s="84"/>
      <c r="AI163" s="66"/>
      <c r="AJ163" s="54"/>
      <c r="AK163" s="54"/>
      <c r="AL163" s="54"/>
    </row>
    <row r="164" spans="1:38" outlineLevel="2" x14ac:dyDescent="0.25">
      <c r="A164" s="54"/>
      <c r="B164" s="63"/>
      <c r="C164" s="56">
        <f t="shared" si="17"/>
        <v>3</v>
      </c>
      <c r="D164" s="84"/>
      <c r="E164" s="79"/>
      <c r="F164" s="79" t="s">
        <v>764</v>
      </c>
      <c r="G164" s="84"/>
      <c r="H164" s="87" t="s">
        <v>765</v>
      </c>
      <c r="I164" s="108" t="s">
        <v>623</v>
      </c>
      <c r="J164" s="108"/>
      <c r="K164" s="109">
        <v>0.95</v>
      </c>
      <c r="L164" s="109">
        <v>0.95</v>
      </c>
      <c r="M164" s="109">
        <v>0.95</v>
      </c>
      <c r="N164" s="109">
        <v>0.95</v>
      </c>
      <c r="O164" s="109">
        <v>0.95</v>
      </c>
      <c r="P164" s="109">
        <v>0.95</v>
      </c>
      <c r="Q164" s="87"/>
      <c r="R164" s="87" t="s">
        <v>751</v>
      </c>
      <c r="S164" s="87" t="s">
        <v>751</v>
      </c>
      <c r="T164" s="87"/>
      <c r="U164" s="311">
        <f t="shared" si="18"/>
        <v>0.95</v>
      </c>
      <c r="V164" s="311">
        <f t="shared" si="18"/>
        <v>0.95</v>
      </c>
      <c r="W164" s="311">
        <f t="shared" si="18"/>
        <v>0.95</v>
      </c>
      <c r="X164" s="311">
        <f t="shared" si="18"/>
        <v>0.95</v>
      </c>
      <c r="Y164" s="311">
        <f t="shared" si="18"/>
        <v>0.95</v>
      </c>
      <c r="Z164" s="311">
        <f t="shared" si="18"/>
        <v>0.95</v>
      </c>
      <c r="AA164" s="311">
        <f t="shared" si="18"/>
        <v>0.95</v>
      </c>
      <c r="AB164" s="311">
        <f t="shared" si="18"/>
        <v>0.95</v>
      </c>
      <c r="AC164" s="87"/>
      <c r="AD164" s="87"/>
      <c r="AE164" s="87"/>
      <c r="AF164" s="109">
        <v>1</v>
      </c>
      <c r="AG164" s="109">
        <v>1</v>
      </c>
      <c r="AH164" s="84"/>
      <c r="AI164" s="66"/>
      <c r="AJ164" s="54"/>
      <c r="AK164" s="54"/>
      <c r="AL164" s="54"/>
    </row>
    <row r="165" spans="1:38" outlineLevel="2" x14ac:dyDescent="0.25">
      <c r="A165" s="54"/>
      <c r="B165" s="63"/>
      <c r="C165" s="56">
        <f t="shared" si="17"/>
        <v>3</v>
      </c>
      <c r="D165" s="84"/>
      <c r="E165" s="79"/>
      <c r="F165" s="79" t="s">
        <v>766</v>
      </c>
      <c r="G165" s="84"/>
      <c r="H165" s="87" t="s">
        <v>767</v>
      </c>
      <c r="I165" s="108" t="s">
        <v>697</v>
      </c>
      <c r="J165" s="108"/>
      <c r="K165" s="109">
        <v>0.84</v>
      </c>
      <c r="L165" s="109">
        <v>0.84</v>
      </c>
      <c r="M165" s="109">
        <v>0.84</v>
      </c>
      <c r="N165" s="109">
        <v>0.84</v>
      </c>
      <c r="O165" s="109">
        <v>0.84</v>
      </c>
      <c r="P165" s="109">
        <v>0.84</v>
      </c>
      <c r="Q165" s="87"/>
      <c r="R165" s="87" t="s">
        <v>751</v>
      </c>
      <c r="S165" s="87" t="s">
        <v>751</v>
      </c>
      <c r="T165" s="87"/>
      <c r="U165" s="311">
        <f t="shared" si="18"/>
        <v>0.84</v>
      </c>
      <c r="V165" s="311">
        <f t="shared" si="18"/>
        <v>0.84</v>
      </c>
      <c r="W165" s="311">
        <f t="shared" si="18"/>
        <v>0.84</v>
      </c>
      <c r="X165" s="311">
        <f t="shared" si="18"/>
        <v>0.84</v>
      </c>
      <c r="Y165" s="311">
        <f t="shared" si="18"/>
        <v>0.84</v>
      </c>
      <c r="Z165" s="311">
        <f t="shared" si="18"/>
        <v>0.84</v>
      </c>
      <c r="AA165" s="311">
        <f t="shared" si="18"/>
        <v>0.84</v>
      </c>
      <c r="AB165" s="311">
        <f t="shared" si="18"/>
        <v>0.84</v>
      </c>
      <c r="AC165" s="87"/>
      <c r="AD165" s="87"/>
      <c r="AE165" s="87"/>
      <c r="AF165" s="109">
        <v>1</v>
      </c>
      <c r="AG165" s="109">
        <v>1</v>
      </c>
      <c r="AH165" s="84"/>
      <c r="AI165" s="66"/>
      <c r="AJ165" s="54"/>
      <c r="AK165" s="54"/>
      <c r="AL165" s="54"/>
    </row>
    <row r="166" spans="1:38" outlineLevel="2" x14ac:dyDescent="0.25">
      <c r="A166" s="54"/>
      <c r="B166" s="63"/>
      <c r="C166" s="56">
        <f t="shared" si="17"/>
        <v>3</v>
      </c>
      <c r="D166" s="84"/>
      <c r="E166" s="79"/>
      <c r="F166" s="79" t="s">
        <v>768</v>
      </c>
      <c r="G166" s="84"/>
      <c r="H166" s="87" t="s">
        <v>769</v>
      </c>
      <c r="I166" s="108" t="s">
        <v>697</v>
      </c>
      <c r="J166" s="108"/>
      <c r="K166" s="109">
        <v>0.8</v>
      </c>
      <c r="L166" s="109">
        <v>0.8</v>
      </c>
      <c r="M166" s="109">
        <v>0.8</v>
      </c>
      <c r="N166" s="109">
        <v>0.8</v>
      </c>
      <c r="O166" s="109">
        <v>0.8</v>
      </c>
      <c r="P166" s="109">
        <v>0.8</v>
      </c>
      <c r="Q166" s="87"/>
      <c r="R166" s="87" t="s">
        <v>634</v>
      </c>
      <c r="S166" s="87" t="s">
        <v>634</v>
      </c>
      <c r="T166" s="87"/>
      <c r="U166" s="311">
        <f t="shared" si="18"/>
        <v>0.8</v>
      </c>
      <c r="V166" s="311">
        <f t="shared" si="18"/>
        <v>0.8</v>
      </c>
      <c r="W166" s="311">
        <f t="shared" si="18"/>
        <v>0.8</v>
      </c>
      <c r="X166" s="311">
        <f t="shared" si="18"/>
        <v>0.8</v>
      </c>
      <c r="Y166" s="311">
        <f t="shared" si="18"/>
        <v>0.8</v>
      </c>
      <c r="Z166" s="311">
        <f t="shared" si="18"/>
        <v>0.8</v>
      </c>
      <c r="AA166" s="311">
        <f t="shared" si="18"/>
        <v>0.8</v>
      </c>
      <c r="AB166" s="311">
        <f t="shared" si="18"/>
        <v>0.8</v>
      </c>
      <c r="AC166" s="87"/>
      <c r="AD166" s="87"/>
      <c r="AE166" s="87"/>
      <c r="AF166" s="109">
        <v>1</v>
      </c>
      <c r="AG166" s="109">
        <v>1</v>
      </c>
      <c r="AH166" s="84"/>
      <c r="AI166" s="66"/>
      <c r="AJ166" s="54"/>
      <c r="AK166" s="54"/>
      <c r="AL166" s="54"/>
    </row>
    <row r="167" spans="1:38" outlineLevel="2" x14ac:dyDescent="0.25">
      <c r="A167" s="54"/>
      <c r="B167" s="63"/>
      <c r="C167" s="56">
        <f t="shared" si="17"/>
        <v>3</v>
      </c>
      <c r="D167" s="84"/>
      <c r="E167" s="79"/>
      <c r="F167" s="79" t="s">
        <v>770</v>
      </c>
      <c r="G167" s="84"/>
      <c r="H167" s="87" t="s">
        <v>771</v>
      </c>
      <c r="I167" s="108" t="s">
        <v>623</v>
      </c>
      <c r="J167" s="108"/>
      <c r="K167" s="109">
        <v>0.7</v>
      </c>
      <c r="L167" s="109">
        <v>0.7</v>
      </c>
      <c r="M167" s="109">
        <v>0.7</v>
      </c>
      <c r="N167" s="109">
        <v>0.7</v>
      </c>
      <c r="O167" s="109">
        <v>0.7</v>
      </c>
      <c r="P167" s="109">
        <v>0.7</v>
      </c>
      <c r="Q167" s="87"/>
      <c r="R167" s="87" t="s">
        <v>751</v>
      </c>
      <c r="S167" s="87" t="s">
        <v>751</v>
      </c>
      <c r="T167" s="87"/>
      <c r="U167" s="311">
        <f t="shared" si="18"/>
        <v>0.7</v>
      </c>
      <c r="V167" s="311">
        <f t="shared" si="18"/>
        <v>0.7</v>
      </c>
      <c r="W167" s="311">
        <f t="shared" si="18"/>
        <v>0.7</v>
      </c>
      <c r="X167" s="311">
        <f t="shared" si="18"/>
        <v>0.7</v>
      </c>
      <c r="Y167" s="311">
        <f t="shared" si="18"/>
        <v>0.7</v>
      </c>
      <c r="Z167" s="311">
        <f t="shared" si="18"/>
        <v>0.7</v>
      </c>
      <c r="AA167" s="311">
        <f t="shared" si="18"/>
        <v>0.7</v>
      </c>
      <c r="AB167" s="311">
        <f t="shared" si="18"/>
        <v>0.7</v>
      </c>
      <c r="AC167" s="87"/>
      <c r="AD167" s="87"/>
      <c r="AE167" s="87"/>
      <c r="AF167" s="109">
        <v>1</v>
      </c>
      <c r="AG167" s="109">
        <v>1</v>
      </c>
      <c r="AH167" s="84"/>
      <c r="AI167" s="66"/>
      <c r="AJ167" s="54"/>
      <c r="AK167" s="54"/>
      <c r="AL167" s="54"/>
    </row>
    <row r="168" spans="1:38" outlineLevel="2" x14ac:dyDescent="0.25">
      <c r="A168" s="54"/>
      <c r="B168" s="63"/>
      <c r="C168" s="56">
        <f t="shared" si="17"/>
        <v>3</v>
      </c>
      <c r="D168" s="84"/>
      <c r="E168" s="79"/>
      <c r="F168" s="79" t="s">
        <v>772</v>
      </c>
      <c r="G168" s="84"/>
      <c r="H168" s="87" t="s">
        <v>773</v>
      </c>
      <c r="I168" s="108" t="s">
        <v>750</v>
      </c>
      <c r="J168" s="108"/>
      <c r="K168" s="109">
        <v>3.5000000000000003E-2</v>
      </c>
      <c r="L168" s="109">
        <v>3.5000000000000003E-2</v>
      </c>
      <c r="M168" s="109">
        <v>3.5000000000000003E-2</v>
      </c>
      <c r="N168" s="109">
        <v>3.5000000000000003E-2</v>
      </c>
      <c r="O168" s="109">
        <v>3.5000000000000003E-2</v>
      </c>
      <c r="P168" s="109">
        <v>3.5000000000000003E-2</v>
      </c>
      <c r="Q168" s="87"/>
      <c r="R168" s="87" t="s">
        <v>634</v>
      </c>
      <c r="S168" s="87" t="s">
        <v>634</v>
      </c>
      <c r="T168" s="87"/>
      <c r="U168" s="311">
        <f t="shared" si="18"/>
        <v>3.5000000000000003E-2</v>
      </c>
      <c r="V168" s="311">
        <f t="shared" si="18"/>
        <v>3.5000000000000003E-2</v>
      </c>
      <c r="W168" s="311">
        <f t="shared" si="18"/>
        <v>3.5000000000000003E-2</v>
      </c>
      <c r="X168" s="311">
        <f t="shared" si="18"/>
        <v>3.5000000000000003E-2</v>
      </c>
      <c r="Y168" s="311">
        <f t="shared" si="18"/>
        <v>3.5000000000000003E-2</v>
      </c>
      <c r="Z168" s="311">
        <f t="shared" si="18"/>
        <v>3.5000000000000003E-2</v>
      </c>
      <c r="AA168" s="311">
        <f t="shared" si="18"/>
        <v>3.5000000000000003E-2</v>
      </c>
      <c r="AB168" s="311">
        <f t="shared" si="18"/>
        <v>3.5000000000000003E-2</v>
      </c>
      <c r="AC168" s="87"/>
      <c r="AD168" s="87"/>
      <c r="AE168" s="87"/>
      <c r="AF168" s="109">
        <v>1</v>
      </c>
      <c r="AG168" s="109">
        <v>1</v>
      </c>
      <c r="AH168" s="84"/>
      <c r="AI168" s="66"/>
      <c r="AJ168" s="54"/>
      <c r="AK168" s="54"/>
      <c r="AL168" s="54"/>
    </row>
    <row r="169" spans="1:38" outlineLevel="2" x14ac:dyDescent="0.25">
      <c r="A169" s="54"/>
      <c r="B169" s="63"/>
      <c r="C169" s="56">
        <f t="shared" si="17"/>
        <v>3</v>
      </c>
      <c r="D169" s="84"/>
      <c r="E169" s="79"/>
      <c r="F169" s="79" t="s">
        <v>774</v>
      </c>
      <c r="G169" s="84"/>
      <c r="H169" s="87" t="s">
        <v>773</v>
      </c>
      <c r="I169" s="108" t="s">
        <v>750</v>
      </c>
      <c r="J169" s="108"/>
      <c r="K169" s="109">
        <v>0.33</v>
      </c>
      <c r="L169" s="109">
        <v>0.33</v>
      </c>
      <c r="M169" s="109">
        <v>0.33</v>
      </c>
      <c r="N169" s="109">
        <v>0.33</v>
      </c>
      <c r="O169" s="109">
        <v>0.33</v>
      </c>
      <c r="P169" s="109">
        <v>0.33</v>
      </c>
      <c r="Q169" s="87"/>
      <c r="R169" s="87" t="s">
        <v>634</v>
      </c>
      <c r="S169" s="87" t="s">
        <v>634</v>
      </c>
      <c r="T169" s="87"/>
      <c r="U169" s="311">
        <f t="shared" si="18"/>
        <v>0.33</v>
      </c>
      <c r="V169" s="311">
        <f t="shared" si="18"/>
        <v>0.33</v>
      </c>
      <c r="W169" s="311">
        <f t="shared" si="18"/>
        <v>0.33</v>
      </c>
      <c r="X169" s="311">
        <f t="shared" si="18"/>
        <v>0.33</v>
      </c>
      <c r="Y169" s="311">
        <f t="shared" si="18"/>
        <v>0.33</v>
      </c>
      <c r="Z169" s="311">
        <f t="shared" si="18"/>
        <v>0.33</v>
      </c>
      <c r="AA169" s="311">
        <f t="shared" si="18"/>
        <v>0.33</v>
      </c>
      <c r="AB169" s="311">
        <f t="shared" si="18"/>
        <v>0.33</v>
      </c>
      <c r="AC169" s="87"/>
      <c r="AD169" s="87"/>
      <c r="AE169" s="87"/>
      <c r="AF169" s="109">
        <v>1</v>
      </c>
      <c r="AG169" s="109">
        <v>1</v>
      </c>
      <c r="AH169" s="84"/>
      <c r="AI169" s="66"/>
      <c r="AJ169" s="54"/>
      <c r="AK169" s="54"/>
      <c r="AL169" s="54"/>
    </row>
    <row r="170" spans="1:38" outlineLevel="2" x14ac:dyDescent="0.25">
      <c r="A170" s="54"/>
      <c r="B170" s="63"/>
      <c r="C170" s="56">
        <f t="shared" si="17"/>
        <v>3</v>
      </c>
      <c r="D170" s="84"/>
      <c r="E170" s="79"/>
      <c r="F170" s="79" t="s">
        <v>775</v>
      </c>
      <c r="G170" s="84"/>
      <c r="H170" s="87" t="s">
        <v>776</v>
      </c>
      <c r="I170" s="108" t="s">
        <v>750</v>
      </c>
      <c r="J170" s="108"/>
      <c r="K170" s="109">
        <v>0.12</v>
      </c>
      <c r="L170" s="109">
        <v>0.12</v>
      </c>
      <c r="M170" s="109">
        <v>0.12</v>
      </c>
      <c r="N170" s="109">
        <v>0.12</v>
      </c>
      <c r="O170" s="109">
        <v>0.12</v>
      </c>
      <c r="P170" s="109">
        <v>0.12</v>
      </c>
      <c r="Q170" s="87"/>
      <c r="R170" s="87" t="s">
        <v>634</v>
      </c>
      <c r="S170" s="87" t="s">
        <v>634</v>
      </c>
      <c r="T170" s="87"/>
      <c r="U170" s="311">
        <f t="shared" si="18"/>
        <v>0.12</v>
      </c>
      <c r="V170" s="311">
        <f t="shared" si="18"/>
        <v>0.12</v>
      </c>
      <c r="W170" s="311">
        <f t="shared" si="18"/>
        <v>0.12</v>
      </c>
      <c r="X170" s="311">
        <f t="shared" si="18"/>
        <v>0.12</v>
      </c>
      <c r="Y170" s="311">
        <f t="shared" si="18"/>
        <v>0.12</v>
      </c>
      <c r="Z170" s="311">
        <f t="shared" si="18"/>
        <v>0.12</v>
      </c>
      <c r="AA170" s="311">
        <f t="shared" si="18"/>
        <v>0.12</v>
      </c>
      <c r="AB170" s="311">
        <f t="shared" si="18"/>
        <v>0.12</v>
      </c>
      <c r="AC170" s="87"/>
      <c r="AD170" s="87"/>
      <c r="AE170" s="87"/>
      <c r="AF170" s="109">
        <v>1</v>
      </c>
      <c r="AG170" s="109">
        <v>1</v>
      </c>
      <c r="AH170" s="84"/>
      <c r="AI170" s="66"/>
      <c r="AJ170" s="54"/>
      <c r="AK170" s="54"/>
      <c r="AL170" s="54"/>
    </row>
    <row r="171" spans="1:38" outlineLevel="2" x14ac:dyDescent="0.25">
      <c r="A171" s="54"/>
      <c r="B171" s="63"/>
      <c r="C171" s="56">
        <f t="shared" si="17"/>
        <v>3</v>
      </c>
      <c r="D171" s="84"/>
      <c r="E171" s="79"/>
      <c r="F171" s="79" t="s">
        <v>777</v>
      </c>
      <c r="G171" s="84"/>
      <c r="H171" s="87" t="s">
        <v>778</v>
      </c>
      <c r="I171" s="108" t="s">
        <v>750</v>
      </c>
      <c r="J171" s="108"/>
      <c r="K171" s="109">
        <v>4.2999999999999997E-2</v>
      </c>
      <c r="L171" s="109">
        <v>4.2999999999999997E-2</v>
      </c>
      <c r="M171" s="109">
        <v>4.2999999999999997E-2</v>
      </c>
      <c r="N171" s="109">
        <v>4.2999999999999997E-2</v>
      </c>
      <c r="O171" s="109">
        <v>4.2999999999999997E-2</v>
      </c>
      <c r="P171" s="109">
        <v>4.2999999999999997E-2</v>
      </c>
      <c r="Q171" s="87"/>
      <c r="R171" s="87" t="s">
        <v>751</v>
      </c>
      <c r="S171" s="87" t="s">
        <v>634</v>
      </c>
      <c r="T171" s="87"/>
      <c r="U171" s="311">
        <f t="shared" si="18"/>
        <v>4.2999999999999997E-2</v>
      </c>
      <c r="V171" s="311">
        <f t="shared" si="18"/>
        <v>4.2999999999999997E-2</v>
      </c>
      <c r="W171" s="311">
        <f t="shared" si="18"/>
        <v>4.2999999999999997E-2</v>
      </c>
      <c r="X171" s="311">
        <f t="shared" si="18"/>
        <v>4.2999999999999997E-2</v>
      </c>
      <c r="Y171" s="311">
        <f t="shared" si="18"/>
        <v>4.2999999999999997E-2</v>
      </c>
      <c r="Z171" s="311">
        <f t="shared" si="18"/>
        <v>4.2999999999999997E-2</v>
      </c>
      <c r="AA171" s="311">
        <f t="shared" si="18"/>
        <v>4.2999999999999997E-2</v>
      </c>
      <c r="AB171" s="311">
        <f t="shared" si="18"/>
        <v>4.2999999999999997E-2</v>
      </c>
      <c r="AC171" s="87"/>
      <c r="AD171" s="87"/>
      <c r="AE171" s="87"/>
      <c r="AF171" s="109">
        <v>1</v>
      </c>
      <c r="AG171" s="109">
        <v>1</v>
      </c>
      <c r="AH171" s="84"/>
      <c r="AI171" s="66"/>
      <c r="AJ171" s="54"/>
      <c r="AK171" s="54"/>
      <c r="AL171" s="54"/>
    </row>
    <row r="172" spans="1:38" outlineLevel="2" x14ac:dyDescent="0.25">
      <c r="A172" s="54"/>
      <c r="B172" s="63"/>
      <c r="C172" s="56">
        <f t="shared" si="17"/>
        <v>3</v>
      </c>
      <c r="D172" s="84"/>
      <c r="E172" s="79"/>
      <c r="F172" s="79" t="s">
        <v>779</v>
      </c>
      <c r="G172" s="84"/>
      <c r="H172" s="87" t="s">
        <v>780</v>
      </c>
      <c r="I172" s="108" t="s">
        <v>750</v>
      </c>
      <c r="J172" s="108"/>
      <c r="K172" s="109">
        <v>0.18</v>
      </c>
      <c r="L172" s="109">
        <v>0.18</v>
      </c>
      <c r="M172" s="87"/>
      <c r="N172" s="87"/>
      <c r="O172" s="87"/>
      <c r="P172" s="87"/>
      <c r="Q172" s="87"/>
      <c r="R172" s="87" t="s">
        <v>634</v>
      </c>
      <c r="S172" s="87"/>
      <c r="T172" s="87"/>
      <c r="U172" s="311">
        <f t="shared" si="18"/>
        <v>0.18</v>
      </c>
      <c r="V172" s="311">
        <f t="shared" si="18"/>
        <v>0.18</v>
      </c>
      <c r="W172" s="311">
        <f t="shared" si="18"/>
        <v>0.18</v>
      </c>
      <c r="X172" s="311">
        <f t="shared" si="18"/>
        <v>0.18</v>
      </c>
      <c r="Y172" s="311">
        <f t="shared" si="18"/>
        <v>0.18</v>
      </c>
      <c r="Z172" s="311">
        <f t="shared" si="18"/>
        <v>0.18</v>
      </c>
      <c r="AA172" s="311">
        <f t="shared" si="18"/>
        <v>0.18</v>
      </c>
      <c r="AB172" s="311">
        <f t="shared" si="18"/>
        <v>0.18</v>
      </c>
      <c r="AC172" s="87"/>
      <c r="AD172" s="87"/>
      <c r="AE172" s="87"/>
      <c r="AF172" s="109">
        <v>1</v>
      </c>
      <c r="AG172" s="109">
        <v>1</v>
      </c>
      <c r="AH172" s="84"/>
      <c r="AI172" s="66"/>
      <c r="AJ172" s="54"/>
      <c r="AK172" s="54"/>
      <c r="AL172" s="54"/>
    </row>
    <row r="173" spans="1:38" outlineLevel="1" x14ac:dyDescent="0.25">
      <c r="A173" s="54"/>
      <c r="B173" s="63"/>
      <c r="C173" s="56">
        <f>INT($C$40)+1</f>
        <v>2</v>
      </c>
      <c r="D173" s="84"/>
      <c r="E173" s="79"/>
      <c r="F173" s="314" t="s">
        <v>781</v>
      </c>
      <c r="G173" s="84"/>
      <c r="H173" s="304" t="s">
        <v>782</v>
      </c>
      <c r="I173" s="108"/>
      <c r="J173" s="108" t="s">
        <v>642</v>
      </c>
      <c r="K173" s="87"/>
      <c r="L173" s="87"/>
      <c r="M173" s="87"/>
      <c r="N173" s="87"/>
      <c r="O173" s="87"/>
      <c r="P173" s="87"/>
      <c r="Q173" s="87"/>
      <c r="R173" s="87"/>
      <c r="S173" s="87"/>
      <c r="T173" s="87"/>
      <c r="U173" s="91">
        <v>20</v>
      </c>
      <c r="V173" s="87"/>
      <c r="W173" s="91">
        <v>0</v>
      </c>
      <c r="X173" s="87"/>
      <c r="Y173" s="87"/>
      <c r="Z173" s="87"/>
      <c r="AA173" s="87"/>
      <c r="AB173" s="87"/>
      <c r="AC173" s="87"/>
      <c r="AD173" s="87"/>
      <c r="AE173" s="87"/>
      <c r="AF173" s="87"/>
      <c r="AG173" s="87"/>
      <c r="AH173" s="84"/>
      <c r="AI173" s="66"/>
      <c r="AJ173" s="54"/>
      <c r="AK173" s="54"/>
      <c r="AL173" s="54"/>
    </row>
    <row r="174" spans="1:38" outlineLevel="2" x14ac:dyDescent="0.25">
      <c r="A174" s="54"/>
      <c r="B174" s="63"/>
      <c r="C174" s="56">
        <f t="shared" ref="C174:C188" si="19">INT($C$40)+2</f>
        <v>3</v>
      </c>
      <c r="D174" s="84"/>
      <c r="E174" s="79" t="s">
        <v>783</v>
      </c>
      <c r="F174" s="79" t="s">
        <v>784</v>
      </c>
      <c r="G174" s="84"/>
      <c r="H174" s="87" t="s">
        <v>785</v>
      </c>
      <c r="I174" s="108" t="s">
        <v>786</v>
      </c>
      <c r="J174" s="108"/>
      <c r="K174" s="109">
        <v>25</v>
      </c>
      <c r="L174" s="109">
        <v>25</v>
      </c>
      <c r="M174" s="109">
        <v>25</v>
      </c>
      <c r="N174" s="109">
        <v>25</v>
      </c>
      <c r="O174" s="109">
        <v>25</v>
      </c>
      <c r="P174" s="109">
        <v>25</v>
      </c>
      <c r="Q174" s="87"/>
      <c r="R174" s="87" t="s">
        <v>787</v>
      </c>
      <c r="S174" s="87"/>
      <c r="T174" s="87"/>
      <c r="U174" s="311">
        <f t="shared" ref="U174:AB188" si="20">INDEX($K174:$Q174,1,U$54)</f>
        <v>25</v>
      </c>
      <c r="V174" s="311">
        <f t="shared" si="20"/>
        <v>25</v>
      </c>
      <c r="W174" s="311">
        <f t="shared" si="20"/>
        <v>25</v>
      </c>
      <c r="X174" s="311">
        <f t="shared" si="20"/>
        <v>25</v>
      </c>
      <c r="Y174" s="311">
        <f t="shared" si="20"/>
        <v>25</v>
      </c>
      <c r="Z174" s="311">
        <f t="shared" si="20"/>
        <v>25</v>
      </c>
      <c r="AA174" s="311">
        <f t="shared" si="20"/>
        <v>25</v>
      </c>
      <c r="AB174" s="311">
        <f t="shared" si="20"/>
        <v>25</v>
      </c>
      <c r="AC174" s="87"/>
      <c r="AD174" s="87"/>
      <c r="AE174" s="87"/>
      <c r="AF174" s="109">
        <v>1</v>
      </c>
      <c r="AG174" s="109">
        <v>1</v>
      </c>
      <c r="AH174" s="84"/>
      <c r="AI174" s="66"/>
      <c r="AJ174" s="54"/>
      <c r="AK174" s="54"/>
      <c r="AL174" s="54"/>
    </row>
    <row r="175" spans="1:38" outlineLevel="2" x14ac:dyDescent="0.25">
      <c r="A175" s="54"/>
      <c r="B175" s="63"/>
      <c r="C175" s="56">
        <f t="shared" si="19"/>
        <v>3</v>
      </c>
      <c r="D175" s="84"/>
      <c r="E175" s="79"/>
      <c r="F175" s="79" t="s">
        <v>788</v>
      </c>
      <c r="G175" s="84"/>
      <c r="H175" s="87" t="s">
        <v>789</v>
      </c>
      <c r="I175" s="108" t="s">
        <v>623</v>
      </c>
      <c r="J175" s="108"/>
      <c r="K175" s="109">
        <v>0.09</v>
      </c>
      <c r="L175" s="109">
        <v>0.09</v>
      </c>
      <c r="M175" s="109">
        <v>0.09</v>
      </c>
      <c r="N175" s="109">
        <v>0.09</v>
      </c>
      <c r="O175" s="109">
        <v>0.09</v>
      </c>
      <c r="P175" s="109">
        <v>0.09</v>
      </c>
      <c r="Q175" s="87"/>
      <c r="R175" s="87" t="s">
        <v>634</v>
      </c>
      <c r="S175" s="87" t="s">
        <v>634</v>
      </c>
      <c r="T175" s="87"/>
      <c r="U175" s="311">
        <f t="shared" si="20"/>
        <v>0.09</v>
      </c>
      <c r="V175" s="311">
        <f t="shared" si="20"/>
        <v>0.09</v>
      </c>
      <c r="W175" s="311">
        <f t="shared" si="20"/>
        <v>0.09</v>
      </c>
      <c r="X175" s="311">
        <f t="shared" si="20"/>
        <v>0.09</v>
      </c>
      <c r="Y175" s="311">
        <f t="shared" si="20"/>
        <v>0.09</v>
      </c>
      <c r="Z175" s="311">
        <f t="shared" si="20"/>
        <v>0.09</v>
      </c>
      <c r="AA175" s="311">
        <f t="shared" si="20"/>
        <v>0.09</v>
      </c>
      <c r="AB175" s="311">
        <f t="shared" si="20"/>
        <v>0.09</v>
      </c>
      <c r="AC175" s="87"/>
      <c r="AD175" s="87"/>
      <c r="AE175" s="87"/>
      <c r="AF175" s="109">
        <v>1</v>
      </c>
      <c r="AG175" s="109">
        <v>1</v>
      </c>
      <c r="AH175" s="84"/>
      <c r="AI175" s="66"/>
      <c r="AJ175" s="54"/>
      <c r="AK175" s="54"/>
      <c r="AL175" s="54"/>
    </row>
    <row r="176" spans="1:38" outlineLevel="2" x14ac:dyDescent="0.25">
      <c r="A176" s="54"/>
      <c r="B176" s="63"/>
      <c r="C176" s="56">
        <f t="shared" si="19"/>
        <v>3</v>
      </c>
      <c r="D176" s="84"/>
      <c r="E176" s="79"/>
      <c r="F176" s="79" t="s">
        <v>790</v>
      </c>
      <c r="G176" s="84"/>
      <c r="H176" s="87" t="s">
        <v>791</v>
      </c>
      <c r="I176" s="108" t="s">
        <v>792</v>
      </c>
      <c r="J176" s="108"/>
      <c r="K176" s="109">
        <v>0.26</v>
      </c>
      <c r="L176" s="109">
        <v>0.26</v>
      </c>
      <c r="M176" s="109">
        <v>0.36</v>
      </c>
      <c r="N176" s="109">
        <v>0.31</v>
      </c>
      <c r="O176" s="109">
        <v>0.36</v>
      </c>
      <c r="P176" s="109">
        <v>0.36</v>
      </c>
      <c r="Q176" s="87"/>
      <c r="R176" s="87" t="s">
        <v>634</v>
      </c>
      <c r="S176" s="87" t="s">
        <v>634</v>
      </c>
      <c r="T176" s="87"/>
      <c r="U176" s="311">
        <f t="shared" si="20"/>
        <v>0.26</v>
      </c>
      <c r="V176" s="311">
        <f t="shared" si="20"/>
        <v>0.26</v>
      </c>
      <c r="W176" s="311">
        <f t="shared" si="20"/>
        <v>0.26</v>
      </c>
      <c r="X176" s="311">
        <f t="shared" si="20"/>
        <v>0.26</v>
      </c>
      <c r="Y176" s="311">
        <f t="shared" si="20"/>
        <v>0.26</v>
      </c>
      <c r="Z176" s="311">
        <f t="shared" si="20"/>
        <v>0.26</v>
      </c>
      <c r="AA176" s="311">
        <f t="shared" si="20"/>
        <v>0.26</v>
      </c>
      <c r="AB176" s="311">
        <f t="shared" si="20"/>
        <v>0.26</v>
      </c>
      <c r="AC176" s="87"/>
      <c r="AD176" s="87"/>
      <c r="AE176" s="87"/>
      <c r="AF176" s="109">
        <v>1</v>
      </c>
      <c r="AG176" s="109">
        <v>1</v>
      </c>
      <c r="AH176" s="84"/>
      <c r="AI176" s="66"/>
      <c r="AJ176" s="54"/>
      <c r="AK176" s="54"/>
      <c r="AL176" s="54"/>
    </row>
    <row r="177" spans="1:38" outlineLevel="2" x14ac:dyDescent="0.25">
      <c r="A177" s="54"/>
      <c r="B177" s="63"/>
      <c r="C177" s="56">
        <f t="shared" si="19"/>
        <v>3</v>
      </c>
      <c r="D177" s="84"/>
      <c r="E177" s="79"/>
      <c r="F177" s="79" t="s">
        <v>793</v>
      </c>
      <c r="G177" s="84"/>
      <c r="H177" s="87" t="s">
        <v>794</v>
      </c>
      <c r="I177" s="108" t="s">
        <v>652</v>
      </c>
      <c r="J177" s="108"/>
      <c r="K177" s="109">
        <v>8.0000000000000007E-5</v>
      </c>
      <c r="L177" s="109">
        <v>8.0000000000000007E-5</v>
      </c>
      <c r="M177" s="109">
        <v>8.0000000000000007E-5</v>
      </c>
      <c r="N177" s="109">
        <v>8.0000000000000007E-5</v>
      </c>
      <c r="O177" s="109">
        <v>8.0000000000000007E-5</v>
      </c>
      <c r="P177" s="109">
        <v>8.0000000000000007E-5</v>
      </c>
      <c r="Q177" s="87"/>
      <c r="R177" s="87" t="s">
        <v>634</v>
      </c>
      <c r="S177" s="87" t="s">
        <v>634</v>
      </c>
      <c r="T177" s="87"/>
      <c r="U177" s="311">
        <f t="shared" si="20"/>
        <v>8.0000000000000007E-5</v>
      </c>
      <c r="V177" s="311">
        <f t="shared" si="20"/>
        <v>8.0000000000000007E-5</v>
      </c>
      <c r="W177" s="311">
        <f t="shared" si="20"/>
        <v>8.0000000000000007E-5</v>
      </c>
      <c r="X177" s="311">
        <f t="shared" si="20"/>
        <v>8.0000000000000007E-5</v>
      </c>
      <c r="Y177" s="311">
        <f t="shared" si="20"/>
        <v>8.0000000000000007E-5</v>
      </c>
      <c r="Z177" s="311">
        <f t="shared" si="20"/>
        <v>8.0000000000000007E-5</v>
      </c>
      <c r="AA177" s="311">
        <f t="shared" si="20"/>
        <v>8.0000000000000007E-5</v>
      </c>
      <c r="AB177" s="311">
        <f t="shared" si="20"/>
        <v>8.0000000000000007E-5</v>
      </c>
      <c r="AC177" s="87"/>
      <c r="AD177" s="87"/>
      <c r="AE177" s="87"/>
      <c r="AF177" s="109">
        <v>1</v>
      </c>
      <c r="AG177" s="109">
        <v>1</v>
      </c>
      <c r="AH177" s="84"/>
      <c r="AI177" s="66"/>
      <c r="AJ177" s="54"/>
      <c r="AK177" s="54"/>
      <c r="AL177" s="54"/>
    </row>
    <row r="178" spans="1:38" outlineLevel="2" x14ac:dyDescent="0.25">
      <c r="A178" s="54"/>
      <c r="B178" s="63"/>
      <c r="C178" s="56">
        <f t="shared" si="19"/>
        <v>3</v>
      </c>
      <c r="D178" s="84"/>
      <c r="E178" s="79"/>
      <c r="F178" s="79" t="s">
        <v>795</v>
      </c>
      <c r="G178" s="84"/>
      <c r="H178" s="87" t="s">
        <v>796</v>
      </c>
      <c r="I178" s="108" t="s">
        <v>623</v>
      </c>
      <c r="J178" s="108"/>
      <c r="K178" s="109">
        <v>0.84</v>
      </c>
      <c r="L178" s="109">
        <v>0.84</v>
      </c>
      <c r="M178" s="109">
        <v>0.84</v>
      </c>
      <c r="N178" s="109">
        <v>0.84</v>
      </c>
      <c r="O178" s="109">
        <v>0.84</v>
      </c>
      <c r="P178" s="109">
        <v>0.84</v>
      </c>
      <c r="Q178" s="87"/>
      <c r="R178" s="87" t="s">
        <v>634</v>
      </c>
      <c r="S178" s="87" t="s">
        <v>634</v>
      </c>
      <c r="T178" s="87"/>
      <c r="U178" s="311">
        <f t="shared" si="20"/>
        <v>0.84</v>
      </c>
      <c r="V178" s="311">
        <f t="shared" si="20"/>
        <v>0.84</v>
      </c>
      <c r="W178" s="311">
        <f t="shared" si="20"/>
        <v>0.84</v>
      </c>
      <c r="X178" s="311">
        <f t="shared" si="20"/>
        <v>0.84</v>
      </c>
      <c r="Y178" s="311">
        <f t="shared" si="20"/>
        <v>0.84</v>
      </c>
      <c r="Z178" s="311">
        <f t="shared" si="20"/>
        <v>0.84</v>
      </c>
      <c r="AA178" s="311">
        <f t="shared" si="20"/>
        <v>0.84</v>
      </c>
      <c r="AB178" s="311">
        <f t="shared" si="20"/>
        <v>0.84</v>
      </c>
      <c r="AC178" s="87"/>
      <c r="AD178" s="87"/>
      <c r="AE178" s="87"/>
      <c r="AF178" s="109">
        <v>1</v>
      </c>
      <c r="AG178" s="109">
        <v>1</v>
      </c>
      <c r="AH178" s="84"/>
      <c r="AI178" s="66"/>
      <c r="AJ178" s="54"/>
      <c r="AK178" s="54"/>
      <c r="AL178" s="54"/>
    </row>
    <row r="179" spans="1:38" outlineLevel="2" x14ac:dyDescent="0.25">
      <c r="A179" s="54"/>
      <c r="B179" s="63"/>
      <c r="C179" s="56">
        <f t="shared" si="19"/>
        <v>3</v>
      </c>
      <c r="D179" s="84"/>
      <c r="E179" s="79"/>
      <c r="F179" s="79" t="s">
        <v>797</v>
      </c>
      <c r="G179" s="84"/>
      <c r="H179" s="87" t="s">
        <v>798</v>
      </c>
      <c r="I179" s="108" t="s">
        <v>623</v>
      </c>
      <c r="J179" s="108"/>
      <c r="K179" s="109">
        <v>0.23</v>
      </c>
      <c r="L179" s="109">
        <v>0.23</v>
      </c>
      <c r="M179" s="109">
        <v>0.23</v>
      </c>
      <c r="N179" s="109">
        <v>0.23</v>
      </c>
      <c r="O179" s="109">
        <v>0.23</v>
      </c>
      <c r="P179" s="109">
        <v>0.23</v>
      </c>
      <c r="Q179" s="87"/>
      <c r="R179" s="87" t="s">
        <v>799</v>
      </c>
      <c r="S179" s="87" t="s">
        <v>634</v>
      </c>
      <c r="T179" s="87"/>
      <c r="U179" s="311">
        <f t="shared" si="20"/>
        <v>0.23</v>
      </c>
      <c r="V179" s="311">
        <f t="shared" si="20"/>
        <v>0.23</v>
      </c>
      <c r="W179" s="311">
        <f t="shared" si="20"/>
        <v>0.23</v>
      </c>
      <c r="X179" s="311">
        <f t="shared" si="20"/>
        <v>0.23</v>
      </c>
      <c r="Y179" s="311">
        <f t="shared" si="20"/>
        <v>0.23</v>
      </c>
      <c r="Z179" s="311">
        <f t="shared" si="20"/>
        <v>0.23</v>
      </c>
      <c r="AA179" s="311">
        <f t="shared" si="20"/>
        <v>0.23</v>
      </c>
      <c r="AB179" s="311">
        <f t="shared" si="20"/>
        <v>0.23</v>
      </c>
      <c r="AC179" s="87"/>
      <c r="AD179" s="87"/>
      <c r="AE179" s="87"/>
      <c r="AF179" s="109">
        <v>1</v>
      </c>
      <c r="AG179" s="109">
        <v>1</v>
      </c>
      <c r="AH179" s="84"/>
      <c r="AI179" s="66"/>
      <c r="AJ179" s="54"/>
      <c r="AK179" s="54"/>
      <c r="AL179" s="54"/>
    </row>
    <row r="180" spans="1:38" outlineLevel="2" x14ac:dyDescent="0.25">
      <c r="A180" s="54"/>
      <c r="B180" s="63"/>
      <c r="C180" s="56">
        <f t="shared" si="19"/>
        <v>3</v>
      </c>
      <c r="D180" s="84"/>
      <c r="E180" s="79"/>
      <c r="F180" s="79" t="s">
        <v>800</v>
      </c>
      <c r="G180" s="84"/>
      <c r="H180" s="87" t="s">
        <v>801</v>
      </c>
      <c r="I180" s="108" t="s">
        <v>802</v>
      </c>
      <c r="J180" s="108"/>
      <c r="K180" s="109">
        <v>0.02</v>
      </c>
      <c r="L180" s="109">
        <v>0.02</v>
      </c>
      <c r="M180" s="109">
        <v>2.5000000000000001E-3</v>
      </c>
      <c r="N180" s="109">
        <v>2.5000000000000001E-3</v>
      </c>
      <c r="O180" s="109">
        <v>2.5000000000000001E-3</v>
      </c>
      <c r="P180" s="109">
        <v>2.5000000000000001E-3</v>
      </c>
      <c r="Q180" s="87"/>
      <c r="R180" s="87" t="s">
        <v>799</v>
      </c>
      <c r="S180" s="87" t="s">
        <v>803</v>
      </c>
      <c r="T180" s="87"/>
      <c r="U180" s="311">
        <f t="shared" si="20"/>
        <v>0.02</v>
      </c>
      <c r="V180" s="311">
        <f t="shared" si="20"/>
        <v>0.02</v>
      </c>
      <c r="W180" s="311">
        <f t="shared" si="20"/>
        <v>0.02</v>
      </c>
      <c r="X180" s="311">
        <f t="shared" si="20"/>
        <v>0.02</v>
      </c>
      <c r="Y180" s="311">
        <f t="shared" si="20"/>
        <v>0.02</v>
      </c>
      <c r="Z180" s="311">
        <f t="shared" si="20"/>
        <v>0.02</v>
      </c>
      <c r="AA180" s="311">
        <f t="shared" si="20"/>
        <v>0.02</v>
      </c>
      <c r="AB180" s="311">
        <f t="shared" si="20"/>
        <v>0.02</v>
      </c>
      <c r="AC180" s="87"/>
      <c r="AD180" s="87"/>
      <c r="AE180" s="87"/>
      <c r="AF180" s="109">
        <v>1</v>
      </c>
      <c r="AG180" s="109">
        <v>1</v>
      </c>
      <c r="AH180" s="84"/>
      <c r="AI180" s="66"/>
      <c r="AJ180" s="54"/>
      <c r="AK180" s="54"/>
      <c r="AL180" s="54"/>
    </row>
    <row r="181" spans="1:38" outlineLevel="2" x14ac:dyDescent="0.25">
      <c r="A181" s="54"/>
      <c r="B181" s="63"/>
      <c r="C181" s="56">
        <f t="shared" si="19"/>
        <v>3</v>
      </c>
      <c r="D181" s="84"/>
      <c r="E181" s="79"/>
      <c r="F181" s="79" t="s">
        <v>804</v>
      </c>
      <c r="G181" s="84"/>
      <c r="H181" s="87" t="s">
        <v>805</v>
      </c>
      <c r="I181" s="108" t="s">
        <v>697</v>
      </c>
      <c r="J181" s="108"/>
      <c r="K181" s="109">
        <v>0.9</v>
      </c>
      <c r="L181" s="109">
        <v>0.9</v>
      </c>
      <c r="M181" s="109">
        <v>0.9</v>
      </c>
      <c r="N181" s="109">
        <v>0.9</v>
      </c>
      <c r="O181" s="109">
        <v>0.9</v>
      </c>
      <c r="P181" s="109">
        <v>0.9</v>
      </c>
      <c r="Q181" s="87"/>
      <c r="R181" s="87" t="s">
        <v>634</v>
      </c>
      <c r="S181" s="87" t="s">
        <v>803</v>
      </c>
      <c r="T181" s="87"/>
      <c r="U181" s="311">
        <f t="shared" si="20"/>
        <v>0.9</v>
      </c>
      <c r="V181" s="311">
        <f t="shared" si="20"/>
        <v>0.9</v>
      </c>
      <c r="W181" s="311">
        <f t="shared" si="20"/>
        <v>0.9</v>
      </c>
      <c r="X181" s="311">
        <f t="shared" si="20"/>
        <v>0.9</v>
      </c>
      <c r="Y181" s="311">
        <f t="shared" si="20"/>
        <v>0.9</v>
      </c>
      <c r="Z181" s="311">
        <f t="shared" si="20"/>
        <v>0.9</v>
      </c>
      <c r="AA181" s="311">
        <f t="shared" si="20"/>
        <v>0.9</v>
      </c>
      <c r="AB181" s="311">
        <f t="shared" si="20"/>
        <v>0.9</v>
      </c>
      <c r="AC181" s="87"/>
      <c r="AD181" s="87"/>
      <c r="AE181" s="87"/>
      <c r="AF181" s="109">
        <v>1</v>
      </c>
      <c r="AG181" s="109">
        <v>1</v>
      </c>
      <c r="AH181" s="84"/>
      <c r="AI181" s="66"/>
      <c r="AJ181" s="54"/>
      <c r="AK181" s="54"/>
      <c r="AL181" s="54"/>
    </row>
    <row r="182" spans="1:38" outlineLevel="2" x14ac:dyDescent="0.25">
      <c r="A182" s="54"/>
      <c r="B182" s="63"/>
      <c r="C182" s="56">
        <f t="shared" si="19"/>
        <v>3</v>
      </c>
      <c r="D182" s="84"/>
      <c r="E182" s="79"/>
      <c r="F182" s="79" t="s">
        <v>806</v>
      </c>
      <c r="G182" s="84"/>
      <c r="H182" s="87" t="s">
        <v>807</v>
      </c>
      <c r="I182" s="108" t="s">
        <v>808</v>
      </c>
      <c r="J182" s="108"/>
      <c r="K182" s="109">
        <v>5.7000000000000003E-5</v>
      </c>
      <c r="L182" s="109">
        <v>5.7000000000000003E-5</v>
      </c>
      <c r="M182" s="109">
        <v>5.7000000000000003E-5</v>
      </c>
      <c r="N182" s="109">
        <v>5.7000000000000003E-5</v>
      </c>
      <c r="O182" s="109">
        <v>5.7000000000000003E-5</v>
      </c>
      <c r="P182" s="109">
        <v>5.7000000000000003E-5</v>
      </c>
      <c r="Q182" s="87"/>
      <c r="R182" s="87" t="s">
        <v>799</v>
      </c>
      <c r="S182" s="87" t="s">
        <v>803</v>
      </c>
      <c r="T182" s="87"/>
      <c r="U182" s="311">
        <f t="shared" si="20"/>
        <v>5.7000000000000003E-5</v>
      </c>
      <c r="V182" s="311">
        <f t="shared" si="20"/>
        <v>5.7000000000000003E-5</v>
      </c>
      <c r="W182" s="311">
        <f t="shared" si="20"/>
        <v>5.7000000000000003E-5</v>
      </c>
      <c r="X182" s="311">
        <f t="shared" si="20"/>
        <v>5.7000000000000003E-5</v>
      </c>
      <c r="Y182" s="311">
        <f t="shared" si="20"/>
        <v>5.7000000000000003E-5</v>
      </c>
      <c r="Z182" s="311">
        <f t="shared" si="20"/>
        <v>5.7000000000000003E-5</v>
      </c>
      <c r="AA182" s="311">
        <f t="shared" si="20"/>
        <v>5.7000000000000003E-5</v>
      </c>
      <c r="AB182" s="311">
        <f t="shared" si="20"/>
        <v>5.7000000000000003E-5</v>
      </c>
      <c r="AC182" s="87"/>
      <c r="AD182" s="87"/>
      <c r="AE182" s="87"/>
      <c r="AF182" s="109">
        <v>1</v>
      </c>
      <c r="AG182" s="109">
        <v>1</v>
      </c>
      <c r="AH182" s="84"/>
      <c r="AI182" s="66"/>
      <c r="AJ182" s="54"/>
      <c r="AK182" s="54"/>
      <c r="AL182" s="54"/>
    </row>
    <row r="183" spans="1:38" outlineLevel="2" x14ac:dyDescent="0.25">
      <c r="A183" s="54"/>
      <c r="B183" s="63"/>
      <c r="C183" s="56">
        <f t="shared" si="19"/>
        <v>3</v>
      </c>
      <c r="D183" s="84"/>
      <c r="E183" s="79"/>
      <c r="F183" s="79" t="s">
        <v>809</v>
      </c>
      <c r="G183" s="84"/>
      <c r="H183" s="87" t="s">
        <v>810</v>
      </c>
      <c r="I183" s="108" t="s">
        <v>750</v>
      </c>
      <c r="J183" s="108"/>
      <c r="K183" s="109">
        <v>0.16</v>
      </c>
      <c r="L183" s="109">
        <v>0.16</v>
      </c>
      <c r="M183" s="109">
        <v>0.16</v>
      </c>
      <c r="N183" s="109">
        <v>0.16</v>
      </c>
      <c r="O183" s="109">
        <v>0.16</v>
      </c>
      <c r="P183" s="109">
        <v>0.16</v>
      </c>
      <c r="Q183" s="87"/>
      <c r="R183" s="87" t="s">
        <v>799</v>
      </c>
      <c r="S183" s="87" t="s">
        <v>803</v>
      </c>
      <c r="T183" s="87"/>
      <c r="U183" s="311">
        <f t="shared" si="20"/>
        <v>0.16</v>
      </c>
      <c r="V183" s="311">
        <f t="shared" si="20"/>
        <v>0.16</v>
      </c>
      <c r="W183" s="311">
        <f t="shared" si="20"/>
        <v>0.16</v>
      </c>
      <c r="X183" s="311">
        <f t="shared" si="20"/>
        <v>0.16</v>
      </c>
      <c r="Y183" s="311">
        <f t="shared" si="20"/>
        <v>0.16</v>
      </c>
      <c r="Z183" s="311">
        <f t="shared" si="20"/>
        <v>0.16</v>
      </c>
      <c r="AA183" s="311">
        <f t="shared" si="20"/>
        <v>0.16</v>
      </c>
      <c r="AB183" s="311">
        <f t="shared" si="20"/>
        <v>0.16</v>
      </c>
      <c r="AC183" s="87"/>
      <c r="AD183" s="87"/>
      <c r="AE183" s="87"/>
      <c r="AF183" s="109">
        <v>1</v>
      </c>
      <c r="AG183" s="109">
        <v>1</v>
      </c>
      <c r="AH183" s="84"/>
      <c r="AI183" s="66"/>
      <c r="AJ183" s="54"/>
      <c r="AK183" s="54"/>
      <c r="AL183" s="54"/>
    </row>
    <row r="184" spans="1:38" outlineLevel="2" x14ac:dyDescent="0.25">
      <c r="A184" s="54"/>
      <c r="B184" s="63"/>
      <c r="C184" s="56">
        <f t="shared" si="19"/>
        <v>3</v>
      </c>
      <c r="D184" s="84"/>
      <c r="E184" s="79"/>
      <c r="F184" s="79" t="s">
        <v>811</v>
      </c>
      <c r="G184" s="84"/>
      <c r="H184" s="87" t="s">
        <v>812</v>
      </c>
      <c r="I184" s="108" t="s">
        <v>647</v>
      </c>
      <c r="J184" s="108"/>
      <c r="K184" s="109">
        <v>1.52E-2</v>
      </c>
      <c r="L184" s="109">
        <v>1.52E-2</v>
      </c>
      <c r="M184" s="109">
        <v>1.52E-2</v>
      </c>
      <c r="N184" s="109">
        <v>1.52E-2</v>
      </c>
      <c r="O184" s="109">
        <v>1.52E-2</v>
      </c>
      <c r="P184" s="109">
        <v>1.52E-2</v>
      </c>
      <c r="Q184" s="87"/>
      <c r="R184" s="87" t="s">
        <v>634</v>
      </c>
      <c r="S184" s="87" t="s">
        <v>634</v>
      </c>
      <c r="T184" s="87"/>
      <c r="U184" s="311">
        <f t="shared" si="20"/>
        <v>1.52E-2</v>
      </c>
      <c r="V184" s="311">
        <f t="shared" si="20"/>
        <v>1.52E-2</v>
      </c>
      <c r="W184" s="311">
        <f t="shared" si="20"/>
        <v>1.52E-2</v>
      </c>
      <c r="X184" s="311">
        <f t="shared" si="20"/>
        <v>1.52E-2</v>
      </c>
      <c r="Y184" s="311">
        <f t="shared" si="20"/>
        <v>1.52E-2</v>
      </c>
      <c r="Z184" s="311">
        <f t="shared" si="20"/>
        <v>1.52E-2</v>
      </c>
      <c r="AA184" s="311">
        <f t="shared" si="20"/>
        <v>1.52E-2</v>
      </c>
      <c r="AB184" s="311">
        <f t="shared" si="20"/>
        <v>1.52E-2</v>
      </c>
      <c r="AC184" s="87"/>
      <c r="AD184" s="87"/>
      <c r="AE184" s="87"/>
      <c r="AF184" s="109">
        <v>1</v>
      </c>
      <c r="AG184" s="109">
        <v>1</v>
      </c>
      <c r="AH184" s="84"/>
      <c r="AI184" s="66"/>
      <c r="AJ184" s="54"/>
      <c r="AK184" s="54"/>
      <c r="AL184" s="54"/>
    </row>
    <row r="185" spans="1:38" outlineLevel="2" x14ac:dyDescent="0.25">
      <c r="A185" s="54"/>
      <c r="B185" s="63"/>
      <c r="C185" s="56">
        <f t="shared" si="19"/>
        <v>3</v>
      </c>
      <c r="D185" s="84"/>
      <c r="E185" s="79"/>
      <c r="F185" s="79" t="s">
        <v>813</v>
      </c>
      <c r="G185" s="84"/>
      <c r="H185" s="87" t="s">
        <v>814</v>
      </c>
      <c r="I185" s="108" t="s">
        <v>750</v>
      </c>
      <c r="J185" s="108"/>
      <c r="K185" s="316">
        <v>4.6000000000000001E-4</v>
      </c>
      <c r="L185" s="316">
        <v>4.6000000000000001E-4</v>
      </c>
      <c r="M185" s="109">
        <v>5.2599999999999999E-4</v>
      </c>
      <c r="N185" s="109">
        <v>5.2599999999999999E-4</v>
      </c>
      <c r="O185" s="109">
        <v>5.2599999999999999E-4</v>
      </c>
      <c r="P185" s="109">
        <v>5.2599999999999999E-4</v>
      </c>
      <c r="Q185" s="87"/>
      <c r="R185" s="87" t="s">
        <v>815</v>
      </c>
      <c r="S185" s="87" t="s">
        <v>815</v>
      </c>
      <c r="T185" s="87"/>
      <c r="U185" s="311">
        <f t="shared" si="20"/>
        <v>4.6000000000000001E-4</v>
      </c>
      <c r="V185" s="311">
        <f t="shared" si="20"/>
        <v>4.6000000000000001E-4</v>
      </c>
      <c r="W185" s="311">
        <f t="shared" si="20"/>
        <v>4.6000000000000001E-4</v>
      </c>
      <c r="X185" s="311">
        <f t="shared" si="20"/>
        <v>4.6000000000000001E-4</v>
      </c>
      <c r="Y185" s="311">
        <f t="shared" si="20"/>
        <v>4.6000000000000001E-4</v>
      </c>
      <c r="Z185" s="311">
        <f t="shared" si="20"/>
        <v>4.6000000000000001E-4</v>
      </c>
      <c r="AA185" s="311">
        <f t="shared" si="20"/>
        <v>4.6000000000000001E-4</v>
      </c>
      <c r="AB185" s="311">
        <f t="shared" si="20"/>
        <v>4.6000000000000001E-4</v>
      </c>
      <c r="AC185" s="87"/>
      <c r="AD185" s="87"/>
      <c r="AE185" s="87"/>
      <c r="AF185" s="109">
        <v>1</v>
      </c>
      <c r="AG185" s="109">
        <v>1</v>
      </c>
      <c r="AH185" s="84"/>
      <c r="AI185" s="66"/>
      <c r="AJ185" s="54"/>
      <c r="AK185" s="54"/>
      <c r="AL185" s="54"/>
    </row>
    <row r="186" spans="1:38" outlineLevel="2" x14ac:dyDescent="0.25">
      <c r="A186" s="54"/>
      <c r="B186" s="63"/>
      <c r="C186" s="56">
        <f t="shared" si="19"/>
        <v>3</v>
      </c>
      <c r="D186" s="84"/>
      <c r="E186" s="79"/>
      <c r="F186" s="79" t="s">
        <v>816</v>
      </c>
      <c r="G186" s="84"/>
      <c r="H186" s="87" t="s">
        <v>817</v>
      </c>
      <c r="I186" s="108" t="s">
        <v>623</v>
      </c>
      <c r="J186" s="108"/>
      <c r="K186" s="316">
        <v>1.47E-4</v>
      </c>
      <c r="L186" s="316">
        <v>1.47E-4</v>
      </c>
      <c r="M186" s="109">
        <v>1.61E-2</v>
      </c>
      <c r="N186" s="109">
        <v>1.29E-2</v>
      </c>
      <c r="O186" s="109">
        <v>1.61E-2</v>
      </c>
      <c r="P186" s="109">
        <v>1.61E-2</v>
      </c>
      <c r="Q186" s="87"/>
      <c r="R186" s="87" t="s">
        <v>815</v>
      </c>
      <c r="S186" s="87" t="s">
        <v>815</v>
      </c>
      <c r="T186" s="87"/>
      <c r="U186" s="311">
        <f t="shared" si="20"/>
        <v>1.47E-4</v>
      </c>
      <c r="V186" s="311">
        <f t="shared" si="20"/>
        <v>1.47E-4</v>
      </c>
      <c r="W186" s="311">
        <f t="shared" si="20"/>
        <v>1.47E-4</v>
      </c>
      <c r="X186" s="311">
        <f t="shared" si="20"/>
        <v>1.47E-4</v>
      </c>
      <c r="Y186" s="311">
        <f t="shared" si="20"/>
        <v>1.47E-4</v>
      </c>
      <c r="Z186" s="311">
        <f t="shared" si="20"/>
        <v>1.47E-4</v>
      </c>
      <c r="AA186" s="311">
        <f t="shared" si="20"/>
        <v>1.47E-4</v>
      </c>
      <c r="AB186" s="311">
        <f t="shared" si="20"/>
        <v>1.47E-4</v>
      </c>
      <c r="AC186" s="87"/>
      <c r="AD186" s="87"/>
      <c r="AE186" s="87"/>
      <c r="AF186" s="109">
        <v>1</v>
      </c>
      <c r="AG186" s="109">
        <v>1</v>
      </c>
      <c r="AH186" s="84"/>
      <c r="AI186" s="66"/>
      <c r="AJ186" s="54"/>
      <c r="AK186" s="54"/>
      <c r="AL186" s="54"/>
    </row>
    <row r="187" spans="1:38" outlineLevel="2" x14ac:dyDescent="0.25">
      <c r="A187" s="54"/>
      <c r="B187" s="63"/>
      <c r="C187" s="56">
        <f t="shared" si="19"/>
        <v>3</v>
      </c>
      <c r="D187" s="84"/>
      <c r="E187" s="79"/>
      <c r="F187" s="79" t="s">
        <v>818</v>
      </c>
      <c r="G187" s="84"/>
      <c r="H187" s="87" t="s">
        <v>819</v>
      </c>
      <c r="I187" s="108" t="s">
        <v>820</v>
      </c>
      <c r="J187" s="108"/>
      <c r="K187" s="109">
        <v>3.375E-3</v>
      </c>
      <c r="L187" s="109">
        <v>3.375E-3</v>
      </c>
      <c r="M187" s="109">
        <v>4.2200000000000001E-2</v>
      </c>
      <c r="N187" s="109">
        <v>3.3799999999999997E-2</v>
      </c>
      <c r="O187" s="109">
        <v>4.2200000000000001E-2</v>
      </c>
      <c r="P187" s="109">
        <v>4.2200000000000001E-2</v>
      </c>
      <c r="Q187" s="87"/>
      <c r="R187" s="87" t="s">
        <v>815</v>
      </c>
      <c r="S187" s="87" t="s">
        <v>815</v>
      </c>
      <c r="T187" s="87"/>
      <c r="U187" s="311">
        <f t="shared" si="20"/>
        <v>3.375E-3</v>
      </c>
      <c r="V187" s="311">
        <f t="shared" si="20"/>
        <v>3.375E-3</v>
      </c>
      <c r="W187" s="311">
        <f t="shared" si="20"/>
        <v>3.375E-3</v>
      </c>
      <c r="X187" s="311">
        <f t="shared" si="20"/>
        <v>3.375E-3</v>
      </c>
      <c r="Y187" s="311">
        <f t="shared" si="20"/>
        <v>3.375E-3</v>
      </c>
      <c r="Z187" s="311">
        <f t="shared" si="20"/>
        <v>3.375E-3</v>
      </c>
      <c r="AA187" s="311">
        <f t="shared" si="20"/>
        <v>3.375E-3</v>
      </c>
      <c r="AB187" s="311">
        <f t="shared" si="20"/>
        <v>3.375E-3</v>
      </c>
      <c r="AC187" s="87"/>
      <c r="AD187" s="87"/>
      <c r="AE187" s="87"/>
      <c r="AF187" s="109">
        <v>1</v>
      </c>
      <c r="AG187" s="109">
        <v>1</v>
      </c>
      <c r="AH187" s="84"/>
      <c r="AI187" s="66"/>
      <c r="AJ187" s="54"/>
      <c r="AK187" s="54"/>
      <c r="AL187" s="54"/>
    </row>
    <row r="188" spans="1:38" outlineLevel="2" collapsed="1" x14ac:dyDescent="0.25">
      <c r="A188" s="54"/>
      <c r="B188" s="63"/>
      <c r="C188" s="56">
        <f t="shared" si="19"/>
        <v>3</v>
      </c>
      <c r="D188" s="84"/>
      <c r="E188" s="79"/>
      <c r="F188" s="79" t="s">
        <v>821</v>
      </c>
      <c r="G188" s="84"/>
      <c r="H188" s="87" t="s">
        <v>822</v>
      </c>
      <c r="I188" s="108" t="s">
        <v>823</v>
      </c>
      <c r="J188" s="108"/>
      <c r="K188" s="87"/>
      <c r="L188" s="87"/>
      <c r="M188" s="109">
        <v>1.1E-4</v>
      </c>
      <c r="N188" s="109">
        <v>1.1E-4</v>
      </c>
      <c r="O188" s="109">
        <v>1.1E-4</v>
      </c>
      <c r="P188" s="109">
        <v>1.1E-4</v>
      </c>
      <c r="Q188" s="87"/>
      <c r="R188" s="87"/>
      <c r="S188" s="87" t="s">
        <v>634</v>
      </c>
      <c r="T188" s="87"/>
      <c r="U188" s="311">
        <f t="shared" si="20"/>
        <v>0</v>
      </c>
      <c r="V188" s="311">
        <f t="shared" si="20"/>
        <v>0</v>
      </c>
      <c r="W188" s="311">
        <f t="shared" si="20"/>
        <v>0</v>
      </c>
      <c r="X188" s="311">
        <f t="shared" si="20"/>
        <v>0</v>
      </c>
      <c r="Y188" s="311">
        <f t="shared" si="20"/>
        <v>0</v>
      </c>
      <c r="Z188" s="311">
        <f t="shared" si="20"/>
        <v>0</v>
      </c>
      <c r="AA188" s="311">
        <f t="shared" si="20"/>
        <v>0</v>
      </c>
      <c r="AB188" s="311">
        <f t="shared" si="20"/>
        <v>0</v>
      </c>
      <c r="AC188" s="87"/>
      <c r="AD188" s="87"/>
      <c r="AE188" s="87"/>
      <c r="AF188" s="109">
        <v>1</v>
      </c>
      <c r="AG188" s="109">
        <v>1</v>
      </c>
      <c r="AH188" s="84"/>
      <c r="AI188" s="66"/>
      <c r="AJ188" s="54"/>
      <c r="AK188" s="54"/>
      <c r="AL188" s="54"/>
    </row>
    <row r="189" spans="1:38" hidden="1" outlineLevel="3" x14ac:dyDescent="0.25">
      <c r="A189" s="54"/>
      <c r="B189" s="63"/>
      <c r="C189" s="56">
        <f>INT($C$40)+3</f>
        <v>4</v>
      </c>
      <c r="D189" s="84"/>
      <c r="E189" s="79"/>
      <c r="F189" s="79" t="s">
        <v>824</v>
      </c>
      <c r="G189" s="84"/>
      <c r="H189" s="87" t="s">
        <v>825</v>
      </c>
      <c r="I189" s="108" t="s">
        <v>623</v>
      </c>
      <c r="J189" s="108"/>
      <c r="K189" s="87"/>
      <c r="L189" s="87"/>
      <c r="M189" s="87"/>
      <c r="N189" s="87"/>
      <c r="O189" s="87"/>
      <c r="P189" s="87"/>
      <c r="Q189" s="87"/>
      <c r="R189" s="87"/>
      <c r="S189" s="87"/>
      <c r="T189" s="87"/>
      <c r="U189" s="87"/>
      <c r="V189" s="87"/>
      <c r="W189" s="87"/>
      <c r="X189" s="87"/>
      <c r="Y189" s="87"/>
      <c r="Z189" s="87"/>
      <c r="AA189" s="87"/>
      <c r="AB189" s="87"/>
      <c r="AC189" s="87"/>
      <c r="AD189" s="87"/>
      <c r="AE189" s="87"/>
      <c r="AF189" s="109">
        <v>1</v>
      </c>
      <c r="AG189" s="109">
        <v>1</v>
      </c>
      <c r="AH189" s="84"/>
      <c r="AI189" s="66"/>
      <c r="AJ189" s="54"/>
      <c r="AK189" s="54"/>
      <c r="AL189" s="54"/>
    </row>
    <row r="190" spans="1:38" outlineLevel="2" x14ac:dyDescent="0.25">
      <c r="A190" s="54"/>
      <c r="B190" s="63"/>
      <c r="C190" s="56">
        <f>INT($C$40)+2</f>
        <v>3</v>
      </c>
      <c r="D190" s="84"/>
      <c r="E190" s="79"/>
      <c r="F190" s="79" t="s">
        <v>826</v>
      </c>
      <c r="G190" s="84"/>
      <c r="H190" s="87" t="s">
        <v>827</v>
      </c>
      <c r="I190" s="108" t="s">
        <v>828</v>
      </c>
      <c r="J190" s="108"/>
      <c r="K190" s="109">
        <v>2.5999999999999999E-3</v>
      </c>
      <c r="L190" s="109">
        <v>2.5999999999999999E-3</v>
      </c>
      <c r="M190" s="109">
        <v>2.5999999999999999E-3</v>
      </c>
      <c r="N190" s="109">
        <v>2.5999999999999999E-3</v>
      </c>
      <c r="O190" s="109">
        <v>2.5999999999999999E-3</v>
      </c>
      <c r="P190" s="109">
        <v>2.5999999999999999E-3</v>
      </c>
      <c r="Q190" s="87"/>
      <c r="R190" s="87"/>
      <c r="S190" s="87" t="s">
        <v>634</v>
      </c>
      <c r="T190" s="87"/>
      <c r="U190" s="311">
        <f t="shared" ref="U190:AB193" si="21">INDEX($K190:$Q190,1,U$54)</f>
        <v>2.5999999999999999E-3</v>
      </c>
      <c r="V190" s="311">
        <f t="shared" si="21"/>
        <v>2.5999999999999999E-3</v>
      </c>
      <c r="W190" s="311">
        <f t="shared" si="21"/>
        <v>2.5999999999999999E-3</v>
      </c>
      <c r="X190" s="311">
        <f t="shared" si="21"/>
        <v>2.5999999999999999E-3</v>
      </c>
      <c r="Y190" s="311">
        <f t="shared" si="21"/>
        <v>2.5999999999999999E-3</v>
      </c>
      <c r="Z190" s="311">
        <f t="shared" si="21"/>
        <v>2.5999999999999999E-3</v>
      </c>
      <c r="AA190" s="311">
        <f t="shared" si="21"/>
        <v>2.5999999999999999E-3</v>
      </c>
      <c r="AB190" s="311">
        <f t="shared" si="21"/>
        <v>2.5999999999999999E-3</v>
      </c>
      <c r="AC190" s="87"/>
      <c r="AD190" s="87"/>
      <c r="AE190" s="87"/>
      <c r="AF190" s="109">
        <v>1</v>
      </c>
      <c r="AG190" s="109">
        <v>1</v>
      </c>
      <c r="AH190" s="84"/>
      <c r="AI190" s="66"/>
      <c r="AJ190" s="54"/>
      <c r="AK190" s="54"/>
      <c r="AL190" s="54"/>
    </row>
    <row r="191" spans="1:38" outlineLevel="2" x14ac:dyDescent="0.25">
      <c r="A191" s="54"/>
      <c r="B191" s="63"/>
      <c r="C191" s="56">
        <f>INT($C$40)+2</f>
        <v>3</v>
      </c>
      <c r="D191" s="84"/>
      <c r="E191" s="79"/>
      <c r="F191" s="79" t="s">
        <v>829</v>
      </c>
      <c r="G191" s="84"/>
      <c r="H191" s="87" t="s">
        <v>830</v>
      </c>
      <c r="I191" s="108" t="s">
        <v>831</v>
      </c>
      <c r="J191" s="108"/>
      <c r="K191" s="109">
        <v>40</v>
      </c>
      <c r="L191" s="109">
        <v>40</v>
      </c>
      <c r="M191" s="109">
        <v>5</v>
      </c>
      <c r="N191" s="109">
        <v>5</v>
      </c>
      <c r="O191" s="109">
        <v>5</v>
      </c>
      <c r="P191" s="109">
        <v>5</v>
      </c>
      <c r="Q191" s="87"/>
      <c r="R191" s="87" t="s">
        <v>634</v>
      </c>
      <c r="S191" s="87"/>
      <c r="T191" s="87"/>
      <c r="U191" s="311">
        <f t="shared" si="21"/>
        <v>40</v>
      </c>
      <c r="V191" s="311">
        <f t="shared" si="21"/>
        <v>40</v>
      </c>
      <c r="W191" s="311">
        <f t="shared" si="21"/>
        <v>40</v>
      </c>
      <c r="X191" s="311">
        <f t="shared" si="21"/>
        <v>40</v>
      </c>
      <c r="Y191" s="311">
        <f t="shared" si="21"/>
        <v>40</v>
      </c>
      <c r="Z191" s="311">
        <f t="shared" si="21"/>
        <v>40</v>
      </c>
      <c r="AA191" s="311">
        <f t="shared" si="21"/>
        <v>40</v>
      </c>
      <c r="AB191" s="311">
        <f t="shared" si="21"/>
        <v>40</v>
      </c>
      <c r="AC191" s="87"/>
      <c r="AD191" s="87"/>
      <c r="AE191" s="87"/>
      <c r="AF191" s="109">
        <v>1</v>
      </c>
      <c r="AG191" s="109">
        <v>1</v>
      </c>
      <c r="AH191" s="84"/>
      <c r="AI191" s="66"/>
      <c r="AJ191" s="54"/>
      <c r="AK191" s="54"/>
      <c r="AL191" s="54"/>
    </row>
    <row r="192" spans="1:38" outlineLevel="2" x14ac:dyDescent="0.25">
      <c r="A192" s="54"/>
      <c r="B192" s="63"/>
      <c r="C192" s="56">
        <f>INT($C$40)+2</f>
        <v>3</v>
      </c>
      <c r="D192" s="84"/>
      <c r="E192" s="79"/>
      <c r="F192" s="79" t="s">
        <v>832</v>
      </c>
      <c r="G192" s="84"/>
      <c r="H192" s="87" t="s">
        <v>833</v>
      </c>
      <c r="I192" s="108" t="s">
        <v>834</v>
      </c>
      <c r="J192" s="108"/>
      <c r="K192" s="109">
        <v>100</v>
      </c>
      <c r="L192" s="109">
        <v>100</v>
      </c>
      <c r="M192" s="109">
        <v>100</v>
      </c>
      <c r="N192" s="109">
        <v>100</v>
      </c>
      <c r="O192" s="109">
        <v>100</v>
      </c>
      <c r="P192" s="109">
        <v>100</v>
      </c>
      <c r="Q192" s="87"/>
      <c r="R192" s="87" t="s">
        <v>634</v>
      </c>
      <c r="S192" s="87"/>
      <c r="T192" s="87"/>
      <c r="U192" s="311">
        <f t="shared" si="21"/>
        <v>100</v>
      </c>
      <c r="V192" s="311">
        <f t="shared" si="21"/>
        <v>100</v>
      </c>
      <c r="W192" s="311">
        <f t="shared" si="21"/>
        <v>100</v>
      </c>
      <c r="X192" s="311">
        <f t="shared" si="21"/>
        <v>100</v>
      </c>
      <c r="Y192" s="311">
        <f t="shared" si="21"/>
        <v>100</v>
      </c>
      <c r="Z192" s="311">
        <f t="shared" si="21"/>
        <v>100</v>
      </c>
      <c r="AA192" s="311">
        <f t="shared" si="21"/>
        <v>100</v>
      </c>
      <c r="AB192" s="311">
        <f t="shared" si="21"/>
        <v>100</v>
      </c>
      <c r="AC192" s="87"/>
      <c r="AD192" s="87"/>
      <c r="AE192" s="87"/>
      <c r="AF192" s="109">
        <v>1</v>
      </c>
      <c r="AG192" s="109">
        <v>1</v>
      </c>
      <c r="AH192" s="84"/>
      <c r="AI192" s="66"/>
      <c r="AJ192" s="54"/>
      <c r="AK192" s="54"/>
      <c r="AL192" s="54"/>
    </row>
    <row r="193" spans="1:38" outlineLevel="2" x14ac:dyDescent="0.25">
      <c r="A193" s="54"/>
      <c r="B193" s="63"/>
      <c r="C193" s="56">
        <f>INT($C$40)+2</f>
        <v>3</v>
      </c>
      <c r="D193" s="84"/>
      <c r="E193" s="79"/>
      <c r="F193" s="79" t="s">
        <v>835</v>
      </c>
      <c r="G193" s="84"/>
      <c r="H193" s="87" t="s">
        <v>836</v>
      </c>
      <c r="I193" s="108" t="s">
        <v>834</v>
      </c>
      <c r="J193" s="108"/>
      <c r="K193" s="109">
        <v>100</v>
      </c>
      <c r="L193" s="109">
        <v>100</v>
      </c>
      <c r="M193" s="109">
        <v>100</v>
      </c>
      <c r="N193" s="109">
        <v>100</v>
      </c>
      <c r="O193" s="109">
        <v>100</v>
      </c>
      <c r="P193" s="109">
        <v>100</v>
      </c>
      <c r="Q193" s="87"/>
      <c r="R193" s="87" t="s">
        <v>634</v>
      </c>
      <c r="S193" s="87"/>
      <c r="T193" s="87"/>
      <c r="U193" s="311">
        <f t="shared" si="21"/>
        <v>100</v>
      </c>
      <c r="V193" s="311">
        <f t="shared" si="21"/>
        <v>100</v>
      </c>
      <c r="W193" s="311">
        <f t="shared" si="21"/>
        <v>100</v>
      </c>
      <c r="X193" s="311">
        <f t="shared" si="21"/>
        <v>100</v>
      </c>
      <c r="Y193" s="311">
        <f t="shared" si="21"/>
        <v>100</v>
      </c>
      <c r="Z193" s="311">
        <f t="shared" si="21"/>
        <v>100</v>
      </c>
      <c r="AA193" s="311">
        <f t="shared" si="21"/>
        <v>100</v>
      </c>
      <c r="AB193" s="311">
        <f t="shared" si="21"/>
        <v>100</v>
      </c>
      <c r="AC193" s="87"/>
      <c r="AD193" s="87"/>
      <c r="AE193" s="87"/>
      <c r="AF193" s="109">
        <v>1</v>
      </c>
      <c r="AG193" s="109">
        <v>1</v>
      </c>
      <c r="AH193" s="84"/>
      <c r="AI193" s="66"/>
      <c r="AJ193" s="54"/>
      <c r="AK193" s="54"/>
      <c r="AL193" s="54"/>
    </row>
    <row r="194" spans="1:38" outlineLevel="1" x14ac:dyDescent="0.25">
      <c r="A194" s="54"/>
      <c r="B194" s="63"/>
      <c r="C194" s="56">
        <f>INT($C$40)+1</f>
        <v>2</v>
      </c>
      <c r="D194" s="84"/>
      <c r="E194" s="79"/>
      <c r="F194" s="314" t="s">
        <v>837</v>
      </c>
      <c r="G194" s="84"/>
      <c r="H194" s="304" t="s">
        <v>838</v>
      </c>
      <c r="I194" s="108"/>
      <c r="J194" s="108" t="s">
        <v>642</v>
      </c>
      <c r="K194" s="87"/>
      <c r="L194" s="87"/>
      <c r="M194" s="87"/>
      <c r="N194" s="87"/>
      <c r="O194" s="87"/>
      <c r="P194" s="87"/>
      <c r="Q194" s="87"/>
      <c r="R194" s="87"/>
      <c r="S194" s="87"/>
      <c r="T194" s="87"/>
      <c r="U194" s="91">
        <v>8</v>
      </c>
      <c r="V194" s="87"/>
      <c r="W194" s="91">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839</v>
      </c>
      <c r="F195" s="79" t="s">
        <v>840</v>
      </c>
      <c r="G195" s="84"/>
      <c r="H195" s="87" t="s">
        <v>616</v>
      </c>
      <c r="I195" s="108"/>
      <c r="J195" s="108"/>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25">
      <c r="A196" s="54"/>
      <c r="B196" s="63"/>
      <c r="C196" s="56">
        <f t="shared" ref="C196:C202" si="22">INT($C$40)+2</f>
        <v>3</v>
      </c>
      <c r="D196" s="84"/>
      <c r="E196" s="79"/>
      <c r="F196" s="79" t="s">
        <v>841</v>
      </c>
      <c r="G196" s="84"/>
      <c r="H196" s="87" t="s">
        <v>842</v>
      </c>
      <c r="I196" s="108" t="s">
        <v>623</v>
      </c>
      <c r="J196" s="108"/>
      <c r="K196" s="109">
        <v>0.3</v>
      </c>
      <c r="L196" s="109">
        <v>0.3</v>
      </c>
      <c r="M196" s="109">
        <v>0.3</v>
      </c>
      <c r="N196" s="109">
        <v>0.3</v>
      </c>
      <c r="O196" s="109">
        <v>0.3</v>
      </c>
      <c r="P196" s="109">
        <v>0.3</v>
      </c>
      <c r="Q196" s="87"/>
      <c r="R196" s="87" t="s">
        <v>843</v>
      </c>
      <c r="S196" s="87" t="s">
        <v>843</v>
      </c>
      <c r="T196" s="87"/>
      <c r="U196" s="311">
        <f t="shared" ref="U196:AB202" si="23">INDEX($K196:$Q196,1,U$54)</f>
        <v>0.3</v>
      </c>
      <c r="V196" s="311">
        <f t="shared" si="23"/>
        <v>0.3</v>
      </c>
      <c r="W196" s="311">
        <f t="shared" si="23"/>
        <v>0.3</v>
      </c>
      <c r="X196" s="311">
        <f t="shared" si="23"/>
        <v>0.3</v>
      </c>
      <c r="Y196" s="311">
        <f t="shared" si="23"/>
        <v>0.3</v>
      </c>
      <c r="Z196" s="311">
        <f t="shared" si="23"/>
        <v>0.3</v>
      </c>
      <c r="AA196" s="311">
        <f t="shared" si="23"/>
        <v>0.3</v>
      </c>
      <c r="AB196" s="311">
        <f t="shared" si="23"/>
        <v>0.3</v>
      </c>
      <c r="AC196" s="87"/>
      <c r="AD196" s="87"/>
      <c r="AE196" s="87"/>
      <c r="AF196" s="109">
        <v>1</v>
      </c>
      <c r="AG196" s="109">
        <v>1</v>
      </c>
      <c r="AH196" s="84"/>
      <c r="AI196" s="66"/>
      <c r="AJ196" s="54"/>
      <c r="AK196" s="54"/>
      <c r="AL196" s="54"/>
    </row>
    <row r="197" spans="1:38" outlineLevel="2" x14ac:dyDescent="0.25">
      <c r="A197" s="54"/>
      <c r="B197" s="63"/>
      <c r="C197" s="56">
        <f t="shared" si="22"/>
        <v>3</v>
      </c>
      <c r="D197" s="84"/>
      <c r="E197" s="79"/>
      <c r="F197" s="79" t="s">
        <v>844</v>
      </c>
      <c r="G197" s="84"/>
      <c r="H197" s="87" t="s">
        <v>845</v>
      </c>
      <c r="I197" s="108" t="s">
        <v>623</v>
      </c>
      <c r="J197" s="108"/>
      <c r="K197" s="109">
        <v>0.25</v>
      </c>
      <c r="L197" s="109">
        <v>0.25</v>
      </c>
      <c r="M197" s="109">
        <v>0.25</v>
      </c>
      <c r="N197" s="109">
        <v>0.25</v>
      </c>
      <c r="O197" s="109">
        <v>0.25</v>
      </c>
      <c r="P197" s="109">
        <v>0.25</v>
      </c>
      <c r="Q197" s="87"/>
      <c r="R197" s="87" t="s">
        <v>843</v>
      </c>
      <c r="S197" s="87" t="s">
        <v>843</v>
      </c>
      <c r="T197" s="87"/>
      <c r="U197" s="311">
        <f t="shared" si="23"/>
        <v>0.25</v>
      </c>
      <c r="V197" s="311">
        <f t="shared" si="23"/>
        <v>0.25</v>
      </c>
      <c r="W197" s="311">
        <f t="shared" si="23"/>
        <v>0.25</v>
      </c>
      <c r="X197" s="311">
        <f t="shared" si="23"/>
        <v>0.25</v>
      </c>
      <c r="Y197" s="311">
        <f t="shared" si="23"/>
        <v>0.25</v>
      </c>
      <c r="Z197" s="311">
        <f t="shared" si="23"/>
        <v>0.25</v>
      </c>
      <c r="AA197" s="311">
        <f t="shared" si="23"/>
        <v>0.25</v>
      </c>
      <c r="AB197" s="311">
        <f t="shared" si="23"/>
        <v>0.25</v>
      </c>
      <c r="AC197" s="87"/>
      <c r="AD197" s="87"/>
      <c r="AE197" s="87"/>
      <c r="AF197" s="109">
        <v>1</v>
      </c>
      <c r="AG197" s="109">
        <v>1</v>
      </c>
      <c r="AH197" s="84"/>
      <c r="AI197" s="66"/>
      <c r="AJ197" s="54"/>
      <c r="AK197" s="54"/>
      <c r="AL197" s="54"/>
    </row>
    <row r="198" spans="1:38" outlineLevel="2" x14ac:dyDescent="0.25">
      <c r="A198" s="54"/>
      <c r="B198" s="63"/>
      <c r="C198" s="56">
        <f t="shared" si="22"/>
        <v>3</v>
      </c>
      <c r="D198" s="84"/>
      <c r="E198" s="79"/>
      <c r="F198" s="79" t="s">
        <v>846</v>
      </c>
      <c r="G198" s="84"/>
      <c r="H198" s="87" t="s">
        <v>847</v>
      </c>
      <c r="I198" s="108" t="s">
        <v>623</v>
      </c>
      <c r="J198" s="108"/>
      <c r="K198" s="109">
        <v>0.1</v>
      </c>
      <c r="L198" s="109">
        <v>0.1</v>
      </c>
      <c r="M198" s="109">
        <v>0.1</v>
      </c>
      <c r="N198" s="109">
        <v>0.1</v>
      </c>
      <c r="O198" s="109">
        <v>0.1</v>
      </c>
      <c r="P198" s="109">
        <v>0.1</v>
      </c>
      <c r="Q198" s="87"/>
      <c r="R198" s="87" t="s">
        <v>843</v>
      </c>
      <c r="S198" s="87" t="s">
        <v>843</v>
      </c>
      <c r="T198" s="87"/>
      <c r="U198" s="311">
        <f t="shared" si="23"/>
        <v>0.1</v>
      </c>
      <c r="V198" s="311">
        <f t="shared" si="23"/>
        <v>0.1</v>
      </c>
      <c r="W198" s="311">
        <f t="shared" si="23"/>
        <v>0.1</v>
      </c>
      <c r="X198" s="311">
        <f t="shared" si="23"/>
        <v>0.1</v>
      </c>
      <c r="Y198" s="311">
        <f t="shared" si="23"/>
        <v>0.1</v>
      </c>
      <c r="Z198" s="311">
        <f t="shared" si="23"/>
        <v>0.1</v>
      </c>
      <c r="AA198" s="311">
        <f t="shared" si="23"/>
        <v>0.1</v>
      </c>
      <c r="AB198" s="311">
        <f t="shared" si="23"/>
        <v>0.1</v>
      </c>
      <c r="AC198" s="87"/>
      <c r="AD198" s="87"/>
      <c r="AE198" s="87"/>
      <c r="AF198" s="109">
        <v>1</v>
      </c>
      <c r="AG198" s="109">
        <v>1</v>
      </c>
      <c r="AH198" s="84"/>
      <c r="AI198" s="66"/>
      <c r="AJ198" s="54"/>
      <c r="AK198" s="54"/>
      <c r="AL198" s="54"/>
    </row>
    <row r="199" spans="1:38" outlineLevel="2" x14ac:dyDescent="0.25">
      <c r="A199" s="54"/>
      <c r="B199" s="63"/>
      <c r="C199" s="56">
        <f t="shared" si="22"/>
        <v>3</v>
      </c>
      <c r="D199" s="84"/>
      <c r="E199" s="79"/>
      <c r="F199" s="79" t="s">
        <v>848</v>
      </c>
      <c r="G199" s="84"/>
      <c r="H199" s="87" t="s">
        <v>849</v>
      </c>
      <c r="I199" s="108" t="s">
        <v>669</v>
      </c>
      <c r="J199" s="108"/>
      <c r="K199" s="109">
        <v>7.0000000000000001E-3</v>
      </c>
      <c r="L199" s="109">
        <v>7.0000000000000001E-3</v>
      </c>
      <c r="M199" s="109">
        <v>7.0000000000000001E-3</v>
      </c>
      <c r="N199" s="109">
        <v>7.0000000000000001E-3</v>
      </c>
      <c r="O199" s="109">
        <v>7.0000000000000001E-3</v>
      </c>
      <c r="P199" s="109">
        <v>7.0000000000000001E-3</v>
      </c>
      <c r="Q199" s="87"/>
      <c r="R199" s="87" t="s">
        <v>843</v>
      </c>
      <c r="S199" s="87" t="s">
        <v>843</v>
      </c>
      <c r="T199" s="87"/>
      <c r="U199" s="311">
        <f t="shared" si="23"/>
        <v>7.0000000000000001E-3</v>
      </c>
      <c r="V199" s="311">
        <f t="shared" si="23"/>
        <v>7.0000000000000001E-3</v>
      </c>
      <c r="W199" s="311">
        <f t="shared" si="23"/>
        <v>7.0000000000000001E-3</v>
      </c>
      <c r="X199" s="311">
        <f t="shared" si="23"/>
        <v>7.0000000000000001E-3</v>
      </c>
      <c r="Y199" s="311">
        <f t="shared" si="23"/>
        <v>7.0000000000000001E-3</v>
      </c>
      <c r="Z199" s="311">
        <f t="shared" si="23"/>
        <v>7.0000000000000001E-3</v>
      </c>
      <c r="AA199" s="311">
        <f t="shared" si="23"/>
        <v>7.0000000000000001E-3</v>
      </c>
      <c r="AB199" s="311">
        <f t="shared" si="23"/>
        <v>7.0000000000000001E-3</v>
      </c>
      <c r="AC199" s="87"/>
      <c r="AD199" s="87"/>
      <c r="AE199" s="87"/>
      <c r="AF199" s="109">
        <v>1</v>
      </c>
      <c r="AG199" s="109">
        <v>1</v>
      </c>
      <c r="AH199" s="84"/>
      <c r="AI199" s="66"/>
      <c r="AJ199" s="54"/>
      <c r="AK199" s="54"/>
      <c r="AL199" s="54"/>
    </row>
    <row r="200" spans="1:38" outlineLevel="2" x14ac:dyDescent="0.25">
      <c r="A200" s="54"/>
      <c r="B200" s="63"/>
      <c r="C200" s="56">
        <f t="shared" si="22"/>
        <v>3</v>
      </c>
      <c r="D200" s="84"/>
      <c r="E200" s="79"/>
      <c r="F200" s="79" t="s">
        <v>850</v>
      </c>
      <c r="G200" s="84"/>
      <c r="H200" s="87" t="s">
        <v>851</v>
      </c>
      <c r="I200" s="108" t="s">
        <v>669</v>
      </c>
      <c r="J200" s="108"/>
      <c r="K200" s="109">
        <v>5.0000000000000001E-3</v>
      </c>
      <c r="L200" s="109">
        <v>5.0000000000000001E-3</v>
      </c>
      <c r="M200" s="109">
        <v>5.0000000000000001E-3</v>
      </c>
      <c r="N200" s="109">
        <v>5.0000000000000001E-3</v>
      </c>
      <c r="O200" s="109">
        <v>5.0000000000000001E-3</v>
      </c>
      <c r="P200" s="109">
        <v>5.0000000000000001E-3</v>
      </c>
      <c r="Q200" s="87"/>
      <c r="R200" s="87" t="s">
        <v>843</v>
      </c>
      <c r="S200" s="87" t="s">
        <v>843</v>
      </c>
      <c r="T200" s="87"/>
      <c r="U200" s="311">
        <f t="shared" si="23"/>
        <v>5.0000000000000001E-3</v>
      </c>
      <c r="V200" s="311">
        <f t="shared" si="23"/>
        <v>5.0000000000000001E-3</v>
      </c>
      <c r="W200" s="311">
        <f t="shared" si="23"/>
        <v>5.0000000000000001E-3</v>
      </c>
      <c r="X200" s="311">
        <f t="shared" si="23"/>
        <v>5.0000000000000001E-3</v>
      </c>
      <c r="Y200" s="311">
        <f t="shared" si="23"/>
        <v>5.0000000000000001E-3</v>
      </c>
      <c r="Z200" s="311">
        <f t="shared" si="23"/>
        <v>5.0000000000000001E-3</v>
      </c>
      <c r="AA200" s="311">
        <f t="shared" si="23"/>
        <v>5.0000000000000001E-3</v>
      </c>
      <c r="AB200" s="311">
        <f t="shared" si="23"/>
        <v>5.0000000000000001E-3</v>
      </c>
      <c r="AC200" s="87"/>
      <c r="AD200" s="87"/>
      <c r="AE200" s="87"/>
      <c r="AF200" s="109">
        <v>1</v>
      </c>
      <c r="AG200" s="109">
        <v>1</v>
      </c>
      <c r="AH200" s="84"/>
      <c r="AI200" s="66"/>
      <c r="AJ200" s="54"/>
      <c r="AK200" s="54"/>
      <c r="AL200" s="54"/>
    </row>
    <row r="201" spans="1:38" outlineLevel="2" x14ac:dyDescent="0.25">
      <c r="A201" s="54"/>
      <c r="B201" s="63"/>
      <c r="C201" s="56">
        <f t="shared" si="22"/>
        <v>3</v>
      </c>
      <c r="D201" s="84"/>
      <c r="E201" s="79"/>
      <c r="F201" s="79" t="s">
        <v>852</v>
      </c>
      <c r="G201" s="84"/>
      <c r="H201" s="87" t="s">
        <v>853</v>
      </c>
      <c r="I201" s="108" t="s">
        <v>623</v>
      </c>
      <c r="J201" s="108"/>
      <c r="K201" s="109">
        <v>0.35</v>
      </c>
      <c r="L201" s="109">
        <v>0.35</v>
      </c>
      <c r="M201" s="109">
        <v>0.35</v>
      </c>
      <c r="N201" s="109">
        <v>0.35</v>
      </c>
      <c r="O201" s="109">
        <v>0.35</v>
      </c>
      <c r="P201" s="109">
        <v>0.35</v>
      </c>
      <c r="Q201" s="87"/>
      <c r="R201" s="87" t="s">
        <v>843</v>
      </c>
      <c r="S201" s="87" t="s">
        <v>843</v>
      </c>
      <c r="T201" s="87"/>
      <c r="U201" s="311">
        <f t="shared" si="23"/>
        <v>0.35</v>
      </c>
      <c r="V201" s="311">
        <f t="shared" si="23"/>
        <v>0.35</v>
      </c>
      <c r="W201" s="311">
        <f t="shared" si="23"/>
        <v>0.35</v>
      </c>
      <c r="X201" s="311">
        <f t="shared" si="23"/>
        <v>0.35</v>
      </c>
      <c r="Y201" s="311">
        <f t="shared" si="23"/>
        <v>0.35</v>
      </c>
      <c r="Z201" s="311">
        <f t="shared" si="23"/>
        <v>0.35</v>
      </c>
      <c r="AA201" s="311">
        <f t="shared" si="23"/>
        <v>0.35</v>
      </c>
      <c r="AB201" s="311">
        <f t="shared" si="23"/>
        <v>0.35</v>
      </c>
      <c r="AC201" s="87"/>
      <c r="AD201" s="87"/>
      <c r="AE201" s="87"/>
      <c r="AF201" s="109">
        <v>1</v>
      </c>
      <c r="AG201" s="109">
        <v>1</v>
      </c>
      <c r="AH201" s="84"/>
      <c r="AI201" s="66"/>
      <c r="AJ201" s="54"/>
      <c r="AK201" s="54"/>
      <c r="AL201" s="54"/>
    </row>
    <row r="202" spans="1:38" outlineLevel="2" x14ac:dyDescent="0.25">
      <c r="A202" s="54"/>
      <c r="B202" s="63"/>
      <c r="C202" s="56">
        <f t="shared" si="22"/>
        <v>3</v>
      </c>
      <c r="D202" s="84"/>
      <c r="E202" s="79"/>
      <c r="F202" s="79" t="s">
        <v>854</v>
      </c>
      <c r="G202" s="84"/>
      <c r="H202" s="87" t="s">
        <v>855</v>
      </c>
      <c r="I202" s="108" t="s">
        <v>623</v>
      </c>
      <c r="J202" s="108"/>
      <c r="K202" s="109">
        <v>0.1</v>
      </c>
      <c r="L202" s="109">
        <v>0.1</v>
      </c>
      <c r="M202" s="109">
        <v>0.1</v>
      </c>
      <c r="N202" s="109">
        <v>0.1</v>
      </c>
      <c r="O202" s="109">
        <v>0.1</v>
      </c>
      <c r="P202" s="109">
        <v>0.1</v>
      </c>
      <c r="Q202" s="87"/>
      <c r="R202" s="87" t="s">
        <v>799</v>
      </c>
      <c r="S202" s="87" t="s">
        <v>843</v>
      </c>
      <c r="T202" s="87"/>
      <c r="U202" s="311">
        <f t="shared" si="23"/>
        <v>0.1</v>
      </c>
      <c r="V202" s="311">
        <f t="shared" si="23"/>
        <v>0.1</v>
      </c>
      <c r="W202" s="311">
        <f t="shared" si="23"/>
        <v>0.1</v>
      </c>
      <c r="X202" s="311">
        <f t="shared" si="23"/>
        <v>0.1</v>
      </c>
      <c r="Y202" s="311">
        <f t="shared" si="23"/>
        <v>0.1</v>
      </c>
      <c r="Z202" s="311">
        <f t="shared" si="23"/>
        <v>0.1</v>
      </c>
      <c r="AA202" s="311">
        <f t="shared" si="23"/>
        <v>0.1</v>
      </c>
      <c r="AB202" s="311">
        <f t="shared" si="23"/>
        <v>0.1</v>
      </c>
      <c r="AC202" s="87"/>
      <c r="AD202" s="87"/>
      <c r="AE202" s="87"/>
      <c r="AF202" s="109">
        <v>1</v>
      </c>
      <c r="AG202" s="109">
        <v>1</v>
      </c>
      <c r="AH202" s="84"/>
      <c r="AI202" s="66"/>
      <c r="AJ202" s="54"/>
      <c r="AK202" s="54"/>
      <c r="AL202" s="54"/>
    </row>
    <row r="203" spans="1:38" outlineLevel="1" x14ac:dyDescent="0.25">
      <c r="A203" s="54"/>
      <c r="B203" s="63"/>
      <c r="C203" s="56">
        <f>INT($C$40)+1</f>
        <v>2</v>
      </c>
      <c r="D203" s="84"/>
      <c r="E203" s="79"/>
      <c r="F203" s="314" t="s">
        <v>856</v>
      </c>
      <c r="G203" s="84"/>
      <c r="H203" s="304" t="s">
        <v>857</v>
      </c>
      <c r="I203" s="108"/>
      <c r="J203" s="108" t="s">
        <v>642</v>
      </c>
      <c r="K203" s="87"/>
      <c r="L203" s="87"/>
      <c r="M203" s="87"/>
      <c r="N203" s="87"/>
      <c r="O203" s="87"/>
      <c r="P203" s="87"/>
      <c r="Q203" s="87"/>
      <c r="R203" s="87"/>
      <c r="S203" s="87"/>
      <c r="T203" s="87"/>
      <c r="U203" s="91">
        <v>10</v>
      </c>
      <c r="V203" s="87"/>
      <c r="W203" s="91">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858</v>
      </c>
      <c r="F204" s="79" t="s">
        <v>859</v>
      </c>
      <c r="G204" s="84"/>
      <c r="H204" s="87" t="s">
        <v>616</v>
      </c>
      <c r="I204" s="108"/>
      <c r="J204" s="108"/>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25">
      <c r="A205" s="54"/>
      <c r="B205" s="63"/>
      <c r="C205" s="56">
        <f t="shared" ref="C205:C213" si="24">INT($C$40)+2</f>
        <v>3</v>
      </c>
      <c r="D205" s="84"/>
      <c r="E205" s="79"/>
      <c r="F205" s="79" t="s">
        <v>860</v>
      </c>
      <c r="G205" s="84"/>
      <c r="H205" s="87" t="s">
        <v>861</v>
      </c>
      <c r="I205" s="108" t="s">
        <v>623</v>
      </c>
      <c r="J205" s="108"/>
      <c r="K205" s="109">
        <v>0.05</v>
      </c>
      <c r="L205" s="109">
        <v>0.05</v>
      </c>
      <c r="M205" s="109">
        <v>0.05</v>
      </c>
      <c r="N205" s="109">
        <v>0.05</v>
      </c>
      <c r="O205" s="109">
        <v>0.05</v>
      </c>
      <c r="P205" s="109">
        <v>0.05</v>
      </c>
      <c r="Q205" s="87"/>
      <c r="R205" s="87" t="s">
        <v>862</v>
      </c>
      <c r="S205" s="87" t="s">
        <v>862</v>
      </c>
      <c r="T205" s="87"/>
      <c r="U205" s="311">
        <f t="shared" ref="U205:AB213" si="25">INDEX($K205:$Q205,1,U$54)</f>
        <v>0.05</v>
      </c>
      <c r="V205" s="311">
        <f t="shared" si="25"/>
        <v>0.05</v>
      </c>
      <c r="W205" s="311">
        <f t="shared" si="25"/>
        <v>0.05</v>
      </c>
      <c r="X205" s="311">
        <f t="shared" si="25"/>
        <v>0.05</v>
      </c>
      <c r="Y205" s="311">
        <f t="shared" si="25"/>
        <v>0.05</v>
      </c>
      <c r="Z205" s="311">
        <f t="shared" si="25"/>
        <v>0.05</v>
      </c>
      <c r="AA205" s="311">
        <f t="shared" si="25"/>
        <v>0.05</v>
      </c>
      <c r="AB205" s="311">
        <f t="shared" si="25"/>
        <v>0.05</v>
      </c>
      <c r="AC205" s="87"/>
      <c r="AD205" s="87"/>
      <c r="AE205" s="87"/>
      <c r="AF205" s="109">
        <v>1</v>
      </c>
      <c r="AG205" s="109">
        <v>1</v>
      </c>
      <c r="AH205" s="84"/>
      <c r="AI205" s="66"/>
      <c r="AJ205" s="54"/>
      <c r="AK205" s="54"/>
      <c r="AL205" s="54"/>
    </row>
    <row r="206" spans="1:38" outlineLevel="2" x14ac:dyDescent="0.25">
      <c r="A206" s="54"/>
      <c r="B206" s="63"/>
      <c r="C206" s="56">
        <f t="shared" si="24"/>
        <v>3</v>
      </c>
      <c r="D206" s="84"/>
      <c r="E206" s="79"/>
      <c r="F206" s="79" t="s">
        <v>863</v>
      </c>
      <c r="G206" s="84"/>
      <c r="H206" s="87" t="s">
        <v>864</v>
      </c>
      <c r="I206" s="108" t="s">
        <v>623</v>
      </c>
      <c r="J206" s="108"/>
      <c r="K206" s="109">
        <v>0.85</v>
      </c>
      <c r="L206" s="109">
        <v>0.85</v>
      </c>
      <c r="M206" s="109">
        <v>0.85</v>
      </c>
      <c r="N206" s="109">
        <v>0.85</v>
      </c>
      <c r="O206" s="109">
        <v>0.85</v>
      </c>
      <c r="P206" s="109">
        <v>0.85</v>
      </c>
      <c r="Q206" s="87"/>
      <c r="R206" s="87" t="s">
        <v>862</v>
      </c>
      <c r="S206" s="87" t="s">
        <v>862</v>
      </c>
      <c r="T206" s="87"/>
      <c r="U206" s="311">
        <f t="shared" si="25"/>
        <v>0.85</v>
      </c>
      <c r="V206" s="311">
        <f t="shared" si="25"/>
        <v>0.85</v>
      </c>
      <c r="W206" s="311">
        <f t="shared" si="25"/>
        <v>0.85</v>
      </c>
      <c r="X206" s="311">
        <f t="shared" si="25"/>
        <v>0.85</v>
      </c>
      <c r="Y206" s="311">
        <f t="shared" si="25"/>
        <v>0.85</v>
      </c>
      <c r="Z206" s="311">
        <f t="shared" si="25"/>
        <v>0.85</v>
      </c>
      <c r="AA206" s="311">
        <f t="shared" si="25"/>
        <v>0.85</v>
      </c>
      <c r="AB206" s="311">
        <f t="shared" si="25"/>
        <v>0.85</v>
      </c>
      <c r="AC206" s="87"/>
      <c r="AD206" s="87"/>
      <c r="AE206" s="87"/>
      <c r="AF206" s="109">
        <v>1</v>
      </c>
      <c r="AG206" s="109">
        <v>1</v>
      </c>
      <c r="AH206" s="84"/>
      <c r="AI206" s="66"/>
      <c r="AJ206" s="54"/>
      <c r="AK206" s="54"/>
      <c r="AL206" s="54"/>
    </row>
    <row r="207" spans="1:38" outlineLevel="2" x14ac:dyDescent="0.25">
      <c r="A207" s="54"/>
      <c r="B207" s="63"/>
      <c r="C207" s="56">
        <f t="shared" si="24"/>
        <v>3</v>
      </c>
      <c r="D207" s="84"/>
      <c r="E207" s="79"/>
      <c r="F207" s="79" t="s">
        <v>865</v>
      </c>
      <c r="G207" s="84"/>
      <c r="H207" s="87" t="s">
        <v>866</v>
      </c>
      <c r="I207" s="108" t="s">
        <v>623</v>
      </c>
      <c r="J207" s="108"/>
      <c r="K207" s="109">
        <v>5.5</v>
      </c>
      <c r="L207" s="109">
        <v>5.5</v>
      </c>
      <c r="M207" s="109">
        <v>5.5</v>
      </c>
      <c r="N207" s="109">
        <v>5.5</v>
      </c>
      <c r="O207" s="109">
        <v>5.5</v>
      </c>
      <c r="P207" s="109">
        <v>5.5</v>
      </c>
      <c r="Q207" s="87"/>
      <c r="R207" s="87" t="s">
        <v>862</v>
      </c>
      <c r="S207" s="87" t="s">
        <v>862</v>
      </c>
      <c r="T207" s="87"/>
      <c r="U207" s="311">
        <f t="shared" si="25"/>
        <v>5.5</v>
      </c>
      <c r="V207" s="311">
        <f t="shared" si="25"/>
        <v>5.5</v>
      </c>
      <c r="W207" s="311">
        <f t="shared" si="25"/>
        <v>5.5</v>
      </c>
      <c r="X207" s="311">
        <f t="shared" si="25"/>
        <v>5.5</v>
      </c>
      <c r="Y207" s="311">
        <f t="shared" si="25"/>
        <v>5.5</v>
      </c>
      <c r="Z207" s="311">
        <f t="shared" si="25"/>
        <v>5.5</v>
      </c>
      <c r="AA207" s="311">
        <f t="shared" si="25"/>
        <v>5.5</v>
      </c>
      <c r="AB207" s="311">
        <f t="shared" si="25"/>
        <v>5.5</v>
      </c>
      <c r="AC207" s="87"/>
      <c r="AD207" s="87"/>
      <c r="AE207" s="87"/>
      <c r="AF207" s="109">
        <v>1</v>
      </c>
      <c r="AG207" s="109">
        <v>1</v>
      </c>
      <c r="AH207" s="84"/>
      <c r="AI207" s="66"/>
      <c r="AJ207" s="54"/>
      <c r="AK207" s="54"/>
      <c r="AL207" s="54"/>
    </row>
    <row r="208" spans="1:38" outlineLevel="2" x14ac:dyDescent="0.25">
      <c r="A208" s="54"/>
      <c r="B208" s="63"/>
      <c r="C208" s="56">
        <f t="shared" si="24"/>
        <v>3</v>
      </c>
      <c r="D208" s="84"/>
      <c r="E208" s="79"/>
      <c r="F208" s="79" t="s">
        <v>867</v>
      </c>
      <c r="G208" s="84"/>
      <c r="H208" s="87" t="s">
        <v>868</v>
      </c>
      <c r="I208" s="108" t="s">
        <v>623</v>
      </c>
      <c r="J208" s="108"/>
      <c r="K208" s="109">
        <v>0.17799999999999999</v>
      </c>
      <c r="L208" s="109">
        <v>0.17799999999999999</v>
      </c>
      <c r="M208" s="109">
        <v>0.17799999999999999</v>
      </c>
      <c r="N208" s="109">
        <v>0.17799999999999999</v>
      </c>
      <c r="O208" s="109">
        <v>0.17799999999999999</v>
      </c>
      <c r="P208" s="109">
        <v>0.17799999999999999</v>
      </c>
      <c r="Q208" s="87"/>
      <c r="R208" s="87" t="s">
        <v>862</v>
      </c>
      <c r="S208" s="87" t="s">
        <v>862</v>
      </c>
      <c r="T208" s="87"/>
      <c r="U208" s="311">
        <f t="shared" si="25"/>
        <v>0.17799999999999999</v>
      </c>
      <c r="V208" s="311">
        <f t="shared" si="25"/>
        <v>0.17799999999999999</v>
      </c>
      <c r="W208" s="311">
        <f t="shared" si="25"/>
        <v>0.17799999999999999</v>
      </c>
      <c r="X208" s="311">
        <f t="shared" si="25"/>
        <v>0.17799999999999999</v>
      </c>
      <c r="Y208" s="311">
        <f t="shared" si="25"/>
        <v>0.17799999999999999</v>
      </c>
      <c r="Z208" s="311">
        <f t="shared" si="25"/>
        <v>0.17799999999999999</v>
      </c>
      <c r="AA208" s="311">
        <f t="shared" si="25"/>
        <v>0.17799999999999999</v>
      </c>
      <c r="AB208" s="311">
        <f t="shared" si="25"/>
        <v>0.17799999999999999</v>
      </c>
      <c r="AC208" s="87"/>
      <c r="AD208" s="87"/>
      <c r="AE208" s="87"/>
      <c r="AF208" s="109">
        <v>1</v>
      </c>
      <c r="AG208" s="109">
        <v>1</v>
      </c>
      <c r="AH208" s="84"/>
      <c r="AI208" s="66"/>
      <c r="AJ208" s="54"/>
      <c r="AK208" s="54"/>
      <c r="AL208" s="54"/>
    </row>
    <row r="209" spans="1:38" outlineLevel="2" x14ac:dyDescent="0.25">
      <c r="A209" s="54"/>
      <c r="B209" s="63"/>
      <c r="C209" s="56">
        <f t="shared" si="24"/>
        <v>3</v>
      </c>
      <c r="D209" s="84"/>
      <c r="E209" s="79"/>
      <c r="F209" s="79" t="s">
        <v>869</v>
      </c>
      <c r="G209" s="84"/>
      <c r="H209" s="87" t="s">
        <v>870</v>
      </c>
      <c r="I209" s="108" t="s">
        <v>697</v>
      </c>
      <c r="J209" s="108"/>
      <c r="K209" s="109">
        <v>0.92</v>
      </c>
      <c r="L209" s="109">
        <v>0.92</v>
      </c>
      <c r="M209" s="109">
        <v>0.92</v>
      </c>
      <c r="N209" s="109">
        <v>0.92</v>
      </c>
      <c r="O209" s="109">
        <v>0.92</v>
      </c>
      <c r="P209" s="109">
        <v>0.92</v>
      </c>
      <c r="Q209" s="87"/>
      <c r="R209" s="87" t="s">
        <v>751</v>
      </c>
      <c r="S209" s="87" t="s">
        <v>751</v>
      </c>
      <c r="T209" s="87"/>
      <c r="U209" s="311">
        <f t="shared" si="25"/>
        <v>0.92</v>
      </c>
      <c r="V209" s="311">
        <f t="shared" si="25"/>
        <v>0.92</v>
      </c>
      <c r="W209" s="311">
        <f t="shared" si="25"/>
        <v>0.92</v>
      </c>
      <c r="X209" s="311">
        <f t="shared" si="25"/>
        <v>0.92</v>
      </c>
      <c r="Y209" s="311">
        <f t="shared" si="25"/>
        <v>0.92</v>
      </c>
      <c r="Z209" s="311">
        <f t="shared" si="25"/>
        <v>0.92</v>
      </c>
      <c r="AA209" s="311">
        <f t="shared" si="25"/>
        <v>0.92</v>
      </c>
      <c r="AB209" s="311">
        <f t="shared" si="25"/>
        <v>0.92</v>
      </c>
      <c r="AC209" s="87"/>
      <c r="AD209" s="87"/>
      <c r="AE209" s="87"/>
      <c r="AF209" s="109">
        <v>1</v>
      </c>
      <c r="AG209" s="109">
        <v>1</v>
      </c>
      <c r="AH209" s="84"/>
      <c r="AI209" s="66"/>
      <c r="AJ209" s="54"/>
      <c r="AK209" s="54"/>
      <c r="AL209" s="54"/>
    </row>
    <row r="210" spans="1:38" outlineLevel="2" x14ac:dyDescent="0.25">
      <c r="A210" s="54"/>
      <c r="B210" s="63"/>
      <c r="C210" s="56">
        <f t="shared" si="24"/>
        <v>3</v>
      </c>
      <c r="D210" s="84"/>
      <c r="E210" s="79"/>
      <c r="F210" s="79" t="s">
        <v>871</v>
      </c>
      <c r="G210" s="84"/>
      <c r="H210" s="87" t="s">
        <v>872</v>
      </c>
      <c r="I210" s="108" t="s">
        <v>623</v>
      </c>
      <c r="J210" s="108"/>
      <c r="K210" s="109">
        <v>1</v>
      </c>
      <c r="L210" s="109">
        <v>1</v>
      </c>
      <c r="M210" s="109">
        <v>1</v>
      </c>
      <c r="N210" s="109">
        <v>1</v>
      </c>
      <c r="O210" s="109">
        <v>1</v>
      </c>
      <c r="P210" s="109">
        <v>1</v>
      </c>
      <c r="Q210" s="87"/>
      <c r="R210" s="87" t="s">
        <v>815</v>
      </c>
      <c r="S210" s="87" t="s">
        <v>815</v>
      </c>
      <c r="T210" s="87"/>
      <c r="U210" s="311">
        <f t="shared" si="25"/>
        <v>1</v>
      </c>
      <c r="V210" s="311">
        <f t="shared" si="25"/>
        <v>1</v>
      </c>
      <c r="W210" s="311">
        <f t="shared" si="25"/>
        <v>1</v>
      </c>
      <c r="X210" s="311">
        <f t="shared" si="25"/>
        <v>1</v>
      </c>
      <c r="Y210" s="311">
        <f t="shared" si="25"/>
        <v>1</v>
      </c>
      <c r="Z210" s="311">
        <f t="shared" si="25"/>
        <v>1</v>
      </c>
      <c r="AA210" s="311">
        <f t="shared" si="25"/>
        <v>1</v>
      </c>
      <c r="AB210" s="311">
        <f t="shared" si="25"/>
        <v>1</v>
      </c>
      <c r="AC210" s="87"/>
      <c r="AD210" s="87"/>
      <c r="AE210" s="87"/>
      <c r="AF210" s="109">
        <v>1</v>
      </c>
      <c r="AG210" s="109">
        <v>1</v>
      </c>
      <c r="AH210" s="84"/>
      <c r="AI210" s="66"/>
      <c r="AJ210" s="54"/>
      <c r="AK210" s="54"/>
      <c r="AL210" s="54"/>
    </row>
    <row r="211" spans="1:38" outlineLevel="2" x14ac:dyDescent="0.25">
      <c r="A211" s="54"/>
      <c r="B211" s="63"/>
      <c r="C211" s="56">
        <f t="shared" si="24"/>
        <v>3</v>
      </c>
      <c r="D211" s="84"/>
      <c r="E211" s="79"/>
      <c r="F211" s="79" t="s">
        <v>873</v>
      </c>
      <c r="G211" s="84"/>
      <c r="H211" s="87" t="s">
        <v>874</v>
      </c>
      <c r="I211" s="108" t="s">
        <v>623</v>
      </c>
      <c r="J211" s="108"/>
      <c r="K211" s="109">
        <v>0.6</v>
      </c>
      <c r="L211" s="109">
        <v>0.6</v>
      </c>
      <c r="M211" s="109">
        <v>0.6</v>
      </c>
      <c r="N211" s="109">
        <v>0.6</v>
      </c>
      <c r="O211" s="109">
        <v>0.6</v>
      </c>
      <c r="P211" s="109">
        <v>0.6</v>
      </c>
      <c r="Q211" s="87"/>
      <c r="R211" s="87" t="s">
        <v>815</v>
      </c>
      <c r="S211" s="87" t="s">
        <v>815</v>
      </c>
      <c r="T211" s="87"/>
      <c r="U211" s="311">
        <f t="shared" si="25"/>
        <v>0.6</v>
      </c>
      <c r="V211" s="311">
        <f t="shared" si="25"/>
        <v>0.6</v>
      </c>
      <c r="W211" s="311">
        <f t="shared" si="25"/>
        <v>0.6</v>
      </c>
      <c r="X211" s="311">
        <f t="shared" si="25"/>
        <v>0.6</v>
      </c>
      <c r="Y211" s="311">
        <f t="shared" si="25"/>
        <v>0.6</v>
      </c>
      <c r="Z211" s="311">
        <f t="shared" si="25"/>
        <v>0.6</v>
      </c>
      <c r="AA211" s="311">
        <f t="shared" si="25"/>
        <v>0.6</v>
      </c>
      <c r="AB211" s="311">
        <f t="shared" si="25"/>
        <v>0.6</v>
      </c>
      <c r="AC211" s="87"/>
      <c r="AD211" s="87"/>
      <c r="AE211" s="87"/>
      <c r="AF211" s="109">
        <v>1</v>
      </c>
      <c r="AG211" s="109">
        <v>1</v>
      </c>
      <c r="AH211" s="84"/>
      <c r="AI211" s="66"/>
      <c r="AJ211" s="54"/>
      <c r="AK211" s="54"/>
      <c r="AL211" s="54"/>
    </row>
    <row r="212" spans="1:38" outlineLevel="2" x14ac:dyDescent="0.25">
      <c r="A212" s="54"/>
      <c r="B212" s="63"/>
      <c r="C212" s="56">
        <f t="shared" si="24"/>
        <v>3</v>
      </c>
      <c r="D212" s="84"/>
      <c r="E212" s="79"/>
      <c r="F212" s="79" t="s">
        <v>875</v>
      </c>
      <c r="G212" s="84"/>
      <c r="H212" s="87" t="s">
        <v>876</v>
      </c>
      <c r="I212" s="108" t="s">
        <v>623</v>
      </c>
      <c r="J212" s="108"/>
      <c r="K212" s="109">
        <v>0.25</v>
      </c>
      <c r="L212" s="109">
        <v>0.25</v>
      </c>
      <c r="M212" s="109">
        <v>0.25</v>
      </c>
      <c r="N212" s="109">
        <v>0.25</v>
      </c>
      <c r="O212" s="109">
        <v>0.25</v>
      </c>
      <c r="P212" s="109">
        <v>0.25</v>
      </c>
      <c r="Q212" s="87"/>
      <c r="R212" s="87" t="s">
        <v>815</v>
      </c>
      <c r="S212" s="87" t="s">
        <v>815</v>
      </c>
      <c r="T212" s="87"/>
      <c r="U212" s="311">
        <f t="shared" si="25"/>
        <v>0.25</v>
      </c>
      <c r="V212" s="311">
        <f t="shared" si="25"/>
        <v>0.25</v>
      </c>
      <c r="W212" s="311">
        <f t="shared" si="25"/>
        <v>0.25</v>
      </c>
      <c r="X212" s="311">
        <f t="shared" si="25"/>
        <v>0.25</v>
      </c>
      <c r="Y212" s="311">
        <f t="shared" si="25"/>
        <v>0.25</v>
      </c>
      <c r="Z212" s="311">
        <f t="shared" si="25"/>
        <v>0.25</v>
      </c>
      <c r="AA212" s="311">
        <f t="shared" si="25"/>
        <v>0.25</v>
      </c>
      <c r="AB212" s="311">
        <f t="shared" si="25"/>
        <v>0.25</v>
      </c>
      <c r="AC212" s="87"/>
      <c r="AD212" s="87"/>
      <c r="AE212" s="87"/>
      <c r="AF212" s="109">
        <v>1</v>
      </c>
      <c r="AG212" s="109">
        <v>1</v>
      </c>
      <c r="AH212" s="84"/>
      <c r="AI212" s="66"/>
      <c r="AJ212" s="54"/>
      <c r="AK212" s="54"/>
      <c r="AL212" s="54"/>
    </row>
    <row r="213" spans="1:38" outlineLevel="2" x14ac:dyDescent="0.25">
      <c r="A213" s="54"/>
      <c r="B213" s="63"/>
      <c r="C213" s="56">
        <f t="shared" si="24"/>
        <v>3</v>
      </c>
      <c r="D213" s="84"/>
      <c r="E213" s="79"/>
      <c r="F213" s="79" t="s">
        <v>877</v>
      </c>
      <c r="G213" s="84"/>
      <c r="H213" s="87" t="s">
        <v>878</v>
      </c>
      <c r="I213" s="108" t="s">
        <v>623</v>
      </c>
      <c r="J213" s="108"/>
      <c r="K213" s="109">
        <v>0.9</v>
      </c>
      <c r="L213" s="109">
        <v>0.9</v>
      </c>
      <c r="M213" s="109">
        <v>0.9</v>
      </c>
      <c r="N213" s="109">
        <v>0.9</v>
      </c>
      <c r="O213" s="109">
        <v>0.9</v>
      </c>
      <c r="P213" s="109">
        <v>0.9</v>
      </c>
      <c r="Q213" s="87"/>
      <c r="R213" s="87" t="s">
        <v>879</v>
      </c>
      <c r="S213" s="87" t="s">
        <v>879</v>
      </c>
      <c r="T213" s="87"/>
      <c r="U213" s="311">
        <f t="shared" si="25"/>
        <v>0.9</v>
      </c>
      <c r="V213" s="311">
        <f t="shared" si="25"/>
        <v>0.9</v>
      </c>
      <c r="W213" s="311">
        <f t="shared" si="25"/>
        <v>0.9</v>
      </c>
      <c r="X213" s="311">
        <f t="shared" si="25"/>
        <v>0.9</v>
      </c>
      <c r="Y213" s="311">
        <f t="shared" si="25"/>
        <v>0.9</v>
      </c>
      <c r="Z213" s="311">
        <f t="shared" si="25"/>
        <v>0.9</v>
      </c>
      <c r="AA213" s="311">
        <f t="shared" si="25"/>
        <v>0.9</v>
      </c>
      <c r="AB213" s="311">
        <f t="shared" si="25"/>
        <v>0.9</v>
      </c>
      <c r="AC213" s="87"/>
      <c r="AD213" s="87"/>
      <c r="AE213" s="87"/>
      <c r="AF213" s="109">
        <v>1</v>
      </c>
      <c r="AG213" s="109">
        <v>1</v>
      </c>
      <c r="AH213" s="84"/>
      <c r="AI213" s="66"/>
      <c r="AJ213" s="54"/>
      <c r="AK213" s="54"/>
      <c r="AL213" s="54"/>
    </row>
    <row r="214" spans="1:38" outlineLevel="1" x14ac:dyDescent="0.25">
      <c r="A214" s="54"/>
      <c r="B214" s="63"/>
      <c r="C214" s="56">
        <f>INT($C$40)+1</f>
        <v>2</v>
      </c>
      <c r="D214" s="84"/>
      <c r="E214" s="79"/>
      <c r="F214" s="314" t="s">
        <v>880</v>
      </c>
      <c r="G214" s="84"/>
      <c r="H214" s="304" t="s">
        <v>881</v>
      </c>
      <c r="I214" s="108"/>
      <c r="J214" s="108" t="s">
        <v>642</v>
      </c>
      <c r="K214" s="87"/>
      <c r="L214" s="87"/>
      <c r="M214" s="87"/>
      <c r="N214" s="87"/>
      <c r="O214" s="87"/>
      <c r="P214" s="87"/>
      <c r="Q214" s="87"/>
      <c r="R214" s="87"/>
      <c r="S214" s="87"/>
      <c r="T214" s="87"/>
      <c r="U214" s="91">
        <v>16</v>
      </c>
      <c r="V214" s="87"/>
      <c r="W214" s="91">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882</v>
      </c>
      <c r="F215" s="79" t="s">
        <v>883</v>
      </c>
      <c r="G215" s="84"/>
      <c r="H215" s="87" t="s">
        <v>884</v>
      </c>
      <c r="I215" s="108" t="s">
        <v>654</v>
      </c>
      <c r="J215" s="108"/>
      <c r="K215" s="109">
        <v>90</v>
      </c>
      <c r="L215" s="109">
        <v>90</v>
      </c>
      <c r="M215" s="109">
        <v>0</v>
      </c>
      <c r="N215" s="109">
        <v>0</v>
      </c>
      <c r="O215" s="109">
        <v>0</v>
      </c>
      <c r="P215" s="109">
        <v>0</v>
      </c>
      <c r="Q215" s="87"/>
      <c r="R215" s="87" t="s">
        <v>885</v>
      </c>
      <c r="S215" s="87"/>
      <c r="T215" s="87"/>
      <c r="U215" s="311">
        <f t="shared" ref="U215:AB228" si="26">INDEX($K215:$Q215,1,U$54)</f>
        <v>90</v>
      </c>
      <c r="V215" s="311">
        <f t="shared" si="26"/>
        <v>90</v>
      </c>
      <c r="W215" s="311">
        <f t="shared" si="26"/>
        <v>90</v>
      </c>
      <c r="X215" s="311">
        <f t="shared" si="26"/>
        <v>90</v>
      </c>
      <c r="Y215" s="311">
        <f t="shared" si="26"/>
        <v>90</v>
      </c>
      <c r="Z215" s="311">
        <f t="shared" si="26"/>
        <v>90</v>
      </c>
      <c r="AA215" s="311">
        <f t="shared" si="26"/>
        <v>90</v>
      </c>
      <c r="AB215" s="311">
        <f t="shared" si="26"/>
        <v>90</v>
      </c>
      <c r="AC215" s="87"/>
      <c r="AD215" s="87"/>
      <c r="AE215" s="87"/>
      <c r="AF215" s="87">
        <v>1</v>
      </c>
      <c r="AG215" s="87">
        <v>1</v>
      </c>
      <c r="AH215" s="84"/>
      <c r="AI215" s="66"/>
      <c r="AJ215" s="54"/>
      <c r="AK215" s="54"/>
      <c r="AL215" s="54"/>
    </row>
    <row r="216" spans="1:38" outlineLevel="2" x14ac:dyDescent="0.25">
      <c r="A216" s="54"/>
      <c r="B216" s="63"/>
      <c r="C216" s="56">
        <f t="shared" ref="C216:C228" si="27">INT($C$40)+2</f>
        <v>3</v>
      </c>
      <c r="D216" s="84"/>
      <c r="E216" s="79"/>
      <c r="F216" s="79" t="s">
        <v>886</v>
      </c>
      <c r="G216" s="84"/>
      <c r="H216" s="87" t="s">
        <v>887</v>
      </c>
      <c r="I216" s="108" t="s">
        <v>654</v>
      </c>
      <c r="J216" s="108"/>
      <c r="K216" s="109">
        <v>150</v>
      </c>
      <c r="L216" s="109">
        <v>150</v>
      </c>
      <c r="M216" s="109">
        <v>285</v>
      </c>
      <c r="N216" s="109">
        <v>285</v>
      </c>
      <c r="O216" s="109">
        <v>285</v>
      </c>
      <c r="P216" s="109">
        <v>285</v>
      </c>
      <c r="Q216" s="87"/>
      <c r="R216" s="87" t="s">
        <v>888</v>
      </c>
      <c r="S216" s="87" t="s">
        <v>888</v>
      </c>
      <c r="T216" s="87"/>
      <c r="U216" s="311">
        <f t="shared" si="26"/>
        <v>150</v>
      </c>
      <c r="V216" s="311">
        <f t="shared" si="26"/>
        <v>150</v>
      </c>
      <c r="W216" s="311">
        <f t="shared" si="26"/>
        <v>150</v>
      </c>
      <c r="X216" s="311">
        <f t="shared" si="26"/>
        <v>150</v>
      </c>
      <c r="Y216" s="311">
        <f t="shared" si="26"/>
        <v>150</v>
      </c>
      <c r="Z216" s="311">
        <f t="shared" si="26"/>
        <v>150</v>
      </c>
      <c r="AA216" s="311">
        <f t="shared" si="26"/>
        <v>150</v>
      </c>
      <c r="AB216" s="311">
        <f t="shared" si="26"/>
        <v>150</v>
      </c>
      <c r="AC216" s="87"/>
      <c r="AD216" s="87"/>
      <c r="AE216" s="87"/>
      <c r="AF216" s="87">
        <v>1</v>
      </c>
      <c r="AG216" s="87">
        <v>1</v>
      </c>
      <c r="AH216" s="84"/>
      <c r="AI216" s="66"/>
      <c r="AJ216" s="54"/>
      <c r="AK216" s="54"/>
      <c r="AL216" s="54"/>
    </row>
    <row r="217" spans="1:38" outlineLevel="2" x14ac:dyDescent="0.25">
      <c r="A217" s="54"/>
      <c r="B217" s="63"/>
      <c r="C217" s="56">
        <f t="shared" si="27"/>
        <v>3</v>
      </c>
      <c r="D217" s="84"/>
      <c r="E217" s="79"/>
      <c r="F217" s="79" t="s">
        <v>889</v>
      </c>
      <c r="G217" s="84"/>
      <c r="H217" s="87" t="s">
        <v>890</v>
      </c>
      <c r="I217" s="108" t="s">
        <v>623</v>
      </c>
      <c r="J217" s="108"/>
      <c r="K217" s="109">
        <v>1.304</v>
      </c>
      <c r="L217" s="109">
        <v>1.304</v>
      </c>
      <c r="M217" s="109">
        <v>2.2000000000000002</v>
      </c>
      <c r="N217" s="109">
        <v>2.2000000000000002</v>
      </c>
      <c r="O217" s="109">
        <v>2.2000000000000002</v>
      </c>
      <c r="P217" s="109">
        <v>2.2000000000000002</v>
      </c>
      <c r="Q217" s="87"/>
      <c r="R217" s="87" t="s">
        <v>888</v>
      </c>
      <c r="S217" s="87" t="s">
        <v>888</v>
      </c>
      <c r="T217" s="87"/>
      <c r="U217" s="311">
        <f t="shared" si="26"/>
        <v>1.304</v>
      </c>
      <c r="V217" s="311">
        <f t="shared" si="26"/>
        <v>1.304</v>
      </c>
      <c r="W217" s="311">
        <f t="shared" si="26"/>
        <v>1.304</v>
      </c>
      <c r="X217" s="311">
        <f t="shared" si="26"/>
        <v>1.304</v>
      </c>
      <c r="Y217" s="311">
        <f t="shared" si="26"/>
        <v>1.304</v>
      </c>
      <c r="Z217" s="311">
        <f t="shared" si="26"/>
        <v>1.304</v>
      </c>
      <c r="AA217" s="311">
        <f t="shared" si="26"/>
        <v>1.304</v>
      </c>
      <c r="AB217" s="311">
        <f t="shared" si="26"/>
        <v>1.304</v>
      </c>
      <c r="AC217" s="87"/>
      <c r="AD217" s="87"/>
      <c r="AE217" s="87"/>
      <c r="AF217" s="109">
        <v>1</v>
      </c>
      <c r="AG217" s="109">
        <v>1</v>
      </c>
      <c r="AH217" s="84"/>
      <c r="AI217" s="66"/>
      <c r="AJ217" s="54"/>
      <c r="AK217" s="54"/>
      <c r="AL217" s="54"/>
    </row>
    <row r="218" spans="1:38" outlineLevel="2" x14ac:dyDescent="0.25">
      <c r="A218" s="54"/>
      <c r="B218" s="63"/>
      <c r="C218" s="56">
        <f t="shared" si="27"/>
        <v>3</v>
      </c>
      <c r="D218" s="84"/>
      <c r="E218" s="79"/>
      <c r="F218" s="79" t="s">
        <v>891</v>
      </c>
      <c r="G218" s="84"/>
      <c r="H218" s="87" t="s">
        <v>890</v>
      </c>
      <c r="I218" s="108" t="s">
        <v>623</v>
      </c>
      <c r="J218" s="108"/>
      <c r="K218" s="109">
        <v>2.625</v>
      </c>
      <c r="L218" s="109">
        <v>2.625</v>
      </c>
      <c r="M218" s="109">
        <v>1.77</v>
      </c>
      <c r="N218" s="109">
        <v>1.77</v>
      </c>
      <c r="O218" s="109">
        <v>1.77</v>
      </c>
      <c r="P218" s="109">
        <v>1.77</v>
      </c>
      <c r="Q218" s="87"/>
      <c r="R218" s="87" t="s">
        <v>888</v>
      </c>
      <c r="S218" s="87" t="s">
        <v>888</v>
      </c>
      <c r="T218" s="87"/>
      <c r="U218" s="311">
        <f t="shared" si="26"/>
        <v>2.625</v>
      </c>
      <c r="V218" s="311">
        <f t="shared" si="26"/>
        <v>2.625</v>
      </c>
      <c r="W218" s="311">
        <f t="shared" si="26"/>
        <v>2.625</v>
      </c>
      <c r="X218" s="311">
        <f t="shared" si="26"/>
        <v>2.625</v>
      </c>
      <c r="Y218" s="311">
        <f t="shared" si="26"/>
        <v>2.625</v>
      </c>
      <c r="Z218" s="311">
        <f t="shared" si="26"/>
        <v>2.625</v>
      </c>
      <c r="AA218" s="311">
        <f t="shared" si="26"/>
        <v>2.625</v>
      </c>
      <c r="AB218" s="311">
        <f t="shared" si="26"/>
        <v>2.625</v>
      </c>
      <c r="AC218" s="87"/>
      <c r="AD218" s="87"/>
      <c r="AE218" s="87"/>
      <c r="AF218" s="109">
        <v>1</v>
      </c>
      <c r="AG218" s="109">
        <v>1</v>
      </c>
      <c r="AH218" s="84"/>
      <c r="AI218" s="66"/>
      <c r="AJ218" s="54"/>
      <c r="AK218" s="54"/>
      <c r="AL218" s="54"/>
    </row>
    <row r="219" spans="1:38" outlineLevel="2" x14ac:dyDescent="0.25">
      <c r="A219" s="54"/>
      <c r="B219" s="63"/>
      <c r="C219" s="56">
        <f t="shared" si="27"/>
        <v>3</v>
      </c>
      <c r="D219" s="84"/>
      <c r="E219" s="79"/>
      <c r="F219" s="79" t="s">
        <v>892</v>
      </c>
      <c r="G219" s="84"/>
      <c r="H219" s="87" t="s">
        <v>893</v>
      </c>
      <c r="I219" s="108" t="s">
        <v>623</v>
      </c>
      <c r="J219" s="108"/>
      <c r="K219" s="109">
        <v>0.33</v>
      </c>
      <c r="L219" s="109">
        <v>0.33</v>
      </c>
      <c r="M219" s="109">
        <v>0.33</v>
      </c>
      <c r="N219" s="109">
        <v>0.33</v>
      </c>
      <c r="O219" s="109">
        <v>0.33</v>
      </c>
      <c r="P219" s="109">
        <v>0.33</v>
      </c>
      <c r="Q219" s="87"/>
      <c r="R219" s="87" t="s">
        <v>888</v>
      </c>
      <c r="S219" s="87" t="s">
        <v>888</v>
      </c>
      <c r="T219" s="87"/>
      <c r="U219" s="311">
        <f t="shared" si="26"/>
        <v>0.33</v>
      </c>
      <c r="V219" s="311">
        <f t="shared" si="26"/>
        <v>0.33</v>
      </c>
      <c r="W219" s="311">
        <f t="shared" si="26"/>
        <v>0.33</v>
      </c>
      <c r="X219" s="311">
        <f t="shared" si="26"/>
        <v>0.33</v>
      </c>
      <c r="Y219" s="311">
        <f t="shared" si="26"/>
        <v>0.33</v>
      </c>
      <c r="Z219" s="311">
        <f t="shared" si="26"/>
        <v>0.33</v>
      </c>
      <c r="AA219" s="311">
        <f t="shared" si="26"/>
        <v>0.33</v>
      </c>
      <c r="AB219" s="311">
        <f t="shared" si="26"/>
        <v>0.33</v>
      </c>
      <c r="AC219" s="87"/>
      <c r="AD219" s="87"/>
      <c r="AE219" s="87"/>
      <c r="AF219" s="109">
        <v>1</v>
      </c>
      <c r="AG219" s="109">
        <v>1</v>
      </c>
      <c r="AH219" s="84"/>
      <c r="AI219" s="66"/>
      <c r="AJ219" s="54"/>
      <c r="AK219" s="54"/>
      <c r="AL219" s="54"/>
    </row>
    <row r="220" spans="1:38" outlineLevel="2" x14ac:dyDescent="0.25">
      <c r="A220" s="54"/>
      <c r="B220" s="63"/>
      <c r="C220" s="56">
        <f t="shared" si="27"/>
        <v>3</v>
      </c>
      <c r="D220" s="84"/>
      <c r="E220" s="79"/>
      <c r="F220" s="79" t="s">
        <v>894</v>
      </c>
      <c r="G220" s="84"/>
      <c r="H220" s="87" t="s">
        <v>895</v>
      </c>
      <c r="I220" s="108" t="s">
        <v>896</v>
      </c>
      <c r="J220" s="108"/>
      <c r="K220" s="109">
        <v>1.43</v>
      </c>
      <c r="L220" s="109">
        <v>1.43</v>
      </c>
      <c r="M220" s="109">
        <v>1.8</v>
      </c>
      <c r="N220" s="109">
        <v>1.8</v>
      </c>
      <c r="O220" s="109">
        <v>1.8</v>
      </c>
      <c r="P220" s="109">
        <v>1.8</v>
      </c>
      <c r="Q220" s="87"/>
      <c r="R220" s="87" t="s">
        <v>888</v>
      </c>
      <c r="S220" s="87" t="s">
        <v>888</v>
      </c>
      <c r="T220" s="87"/>
      <c r="U220" s="311">
        <f t="shared" si="26"/>
        <v>1.43</v>
      </c>
      <c r="V220" s="311">
        <f t="shared" si="26"/>
        <v>1.43</v>
      </c>
      <c r="W220" s="311">
        <f t="shared" si="26"/>
        <v>1.43</v>
      </c>
      <c r="X220" s="311">
        <f t="shared" si="26"/>
        <v>1.43</v>
      </c>
      <c r="Y220" s="311">
        <f t="shared" si="26"/>
        <v>1.43</v>
      </c>
      <c r="Z220" s="311">
        <f t="shared" si="26"/>
        <v>1.43</v>
      </c>
      <c r="AA220" s="311">
        <f t="shared" si="26"/>
        <v>1.43</v>
      </c>
      <c r="AB220" s="311">
        <f t="shared" si="26"/>
        <v>1.43</v>
      </c>
      <c r="AC220" s="87"/>
      <c r="AD220" s="87"/>
      <c r="AE220" s="87"/>
      <c r="AF220" s="109">
        <v>1</v>
      </c>
      <c r="AG220" s="109">
        <v>1</v>
      </c>
      <c r="AH220" s="84"/>
      <c r="AI220" s="66"/>
      <c r="AJ220" s="54"/>
      <c r="AK220" s="54"/>
      <c r="AL220" s="54"/>
    </row>
    <row r="221" spans="1:38" outlineLevel="2" x14ac:dyDescent="0.25">
      <c r="A221" s="54"/>
      <c r="B221" s="63"/>
      <c r="C221" s="56">
        <f t="shared" si="27"/>
        <v>3</v>
      </c>
      <c r="D221" s="84"/>
      <c r="E221" s="79"/>
      <c r="F221" s="79" t="s">
        <v>897</v>
      </c>
      <c r="G221" s="84"/>
      <c r="H221" s="87" t="s">
        <v>898</v>
      </c>
      <c r="I221" s="108" t="s">
        <v>623</v>
      </c>
      <c r="J221" s="108"/>
      <c r="K221" s="109">
        <v>3.38</v>
      </c>
      <c r="L221" s="109">
        <v>3.38</v>
      </c>
      <c r="M221" s="109">
        <v>2.42</v>
      </c>
      <c r="N221" s="109">
        <v>2.42</v>
      </c>
      <c r="O221" s="109">
        <v>2.42</v>
      </c>
      <c r="P221" s="109">
        <v>2.42</v>
      </c>
      <c r="Q221" s="87"/>
      <c r="R221" s="87" t="s">
        <v>888</v>
      </c>
      <c r="S221" s="87" t="s">
        <v>888</v>
      </c>
      <c r="T221" s="87"/>
      <c r="U221" s="311">
        <f t="shared" si="26"/>
        <v>3.38</v>
      </c>
      <c r="V221" s="311">
        <f t="shared" si="26"/>
        <v>3.38</v>
      </c>
      <c r="W221" s="311">
        <f t="shared" si="26"/>
        <v>3.38</v>
      </c>
      <c r="X221" s="311">
        <f t="shared" si="26"/>
        <v>3.38</v>
      </c>
      <c r="Y221" s="311">
        <f t="shared" si="26"/>
        <v>3.38</v>
      </c>
      <c r="Z221" s="311">
        <f t="shared" si="26"/>
        <v>3.38</v>
      </c>
      <c r="AA221" s="311">
        <f t="shared" si="26"/>
        <v>3.38</v>
      </c>
      <c r="AB221" s="311">
        <f t="shared" si="26"/>
        <v>3.38</v>
      </c>
      <c r="AC221" s="87"/>
      <c r="AD221" s="87"/>
      <c r="AE221" s="87"/>
      <c r="AF221" s="109">
        <v>1</v>
      </c>
      <c r="AG221" s="109">
        <v>1</v>
      </c>
      <c r="AH221" s="84"/>
      <c r="AI221" s="66"/>
      <c r="AJ221" s="54"/>
      <c r="AK221" s="54"/>
      <c r="AL221" s="54"/>
    </row>
    <row r="222" spans="1:38" outlineLevel="2" x14ac:dyDescent="0.25">
      <c r="A222" s="54"/>
      <c r="B222" s="63"/>
      <c r="C222" s="56">
        <f t="shared" si="27"/>
        <v>3</v>
      </c>
      <c r="D222" s="84"/>
      <c r="E222" s="79"/>
      <c r="F222" s="79" t="s">
        <v>899</v>
      </c>
      <c r="G222" s="84"/>
      <c r="H222" s="87" t="s">
        <v>900</v>
      </c>
      <c r="I222" s="108" t="s">
        <v>623</v>
      </c>
      <c r="J222" s="108"/>
      <c r="K222" s="109">
        <v>0.91</v>
      </c>
      <c r="L222" s="109">
        <v>0.91</v>
      </c>
      <c r="M222" s="109">
        <v>1.1599999999999999</v>
      </c>
      <c r="N222" s="109">
        <v>1.1599999999999999</v>
      </c>
      <c r="O222" s="109">
        <v>1.1599999999999999</v>
      </c>
      <c r="P222" s="109">
        <v>1.1599999999999999</v>
      </c>
      <c r="Q222" s="87"/>
      <c r="R222" s="87" t="s">
        <v>888</v>
      </c>
      <c r="S222" s="87" t="s">
        <v>888</v>
      </c>
      <c r="T222" s="87"/>
      <c r="U222" s="311">
        <f t="shared" si="26"/>
        <v>0.91</v>
      </c>
      <c r="V222" s="311">
        <f t="shared" si="26"/>
        <v>0.91</v>
      </c>
      <c r="W222" s="311">
        <f t="shared" si="26"/>
        <v>0.91</v>
      </c>
      <c r="X222" s="311">
        <f t="shared" si="26"/>
        <v>0.91</v>
      </c>
      <c r="Y222" s="311">
        <f t="shared" si="26"/>
        <v>0.91</v>
      </c>
      <c r="Z222" s="311">
        <f t="shared" si="26"/>
        <v>0.91</v>
      </c>
      <c r="AA222" s="311">
        <f t="shared" si="26"/>
        <v>0.91</v>
      </c>
      <c r="AB222" s="311">
        <f t="shared" si="26"/>
        <v>0.91</v>
      </c>
      <c r="AC222" s="87"/>
      <c r="AD222" s="87"/>
      <c r="AE222" s="87"/>
      <c r="AF222" s="109">
        <v>1</v>
      </c>
      <c r="AG222" s="109">
        <v>1</v>
      </c>
      <c r="AH222" s="84"/>
      <c r="AI222" s="66"/>
      <c r="AJ222" s="54"/>
      <c r="AK222" s="54"/>
      <c r="AL222" s="54"/>
    </row>
    <row r="223" spans="1:38" outlineLevel="2" x14ac:dyDescent="0.25">
      <c r="A223" s="54"/>
      <c r="B223" s="63"/>
      <c r="C223" s="56">
        <f t="shared" si="27"/>
        <v>3</v>
      </c>
      <c r="D223" s="84"/>
      <c r="E223" s="79"/>
      <c r="F223" s="79" t="s">
        <v>901</v>
      </c>
      <c r="G223" s="84"/>
      <c r="H223" s="87" t="s">
        <v>902</v>
      </c>
      <c r="I223" s="108" t="s">
        <v>903</v>
      </c>
      <c r="J223" s="108"/>
      <c r="K223" s="109">
        <v>4.33</v>
      </c>
      <c r="L223" s="109">
        <v>4.33</v>
      </c>
      <c r="M223" s="109">
        <v>4.1100000000000003</v>
      </c>
      <c r="N223" s="109">
        <v>4.1100000000000003</v>
      </c>
      <c r="O223" s="109">
        <v>4.1100000000000003</v>
      </c>
      <c r="P223" s="109">
        <v>4.1100000000000003</v>
      </c>
      <c r="Q223" s="87"/>
      <c r="R223" s="87" t="s">
        <v>888</v>
      </c>
      <c r="S223" s="87" t="s">
        <v>888</v>
      </c>
      <c r="T223" s="87"/>
      <c r="U223" s="311">
        <f t="shared" si="26"/>
        <v>4.33</v>
      </c>
      <c r="V223" s="311">
        <f t="shared" si="26"/>
        <v>4.33</v>
      </c>
      <c r="W223" s="311">
        <f t="shared" si="26"/>
        <v>4.33</v>
      </c>
      <c r="X223" s="311">
        <f t="shared" si="26"/>
        <v>4.33</v>
      </c>
      <c r="Y223" s="311">
        <f t="shared" si="26"/>
        <v>4.33</v>
      </c>
      <c r="Z223" s="311">
        <f t="shared" si="26"/>
        <v>4.33</v>
      </c>
      <c r="AA223" s="311">
        <f t="shared" si="26"/>
        <v>4.33</v>
      </c>
      <c r="AB223" s="311">
        <f t="shared" si="26"/>
        <v>4.33</v>
      </c>
      <c r="AC223" s="87"/>
      <c r="AD223" s="87"/>
      <c r="AE223" s="87"/>
      <c r="AF223" s="109">
        <v>1</v>
      </c>
      <c r="AG223" s="109">
        <v>1</v>
      </c>
      <c r="AH223" s="84"/>
      <c r="AI223" s="66"/>
      <c r="AJ223" s="54"/>
      <c r="AK223" s="54"/>
      <c r="AL223" s="54"/>
    </row>
    <row r="224" spans="1:38" outlineLevel="2" x14ac:dyDescent="0.25">
      <c r="A224" s="54"/>
      <c r="B224" s="63"/>
      <c r="C224" s="56">
        <f t="shared" si="27"/>
        <v>3</v>
      </c>
      <c r="D224" s="84"/>
      <c r="E224" s="79"/>
      <c r="F224" s="79" t="s">
        <v>904</v>
      </c>
      <c r="G224" s="84"/>
      <c r="H224" s="87" t="s">
        <v>905</v>
      </c>
      <c r="I224" s="108" t="s">
        <v>623</v>
      </c>
      <c r="J224" s="108"/>
      <c r="K224" s="109">
        <v>4.37</v>
      </c>
      <c r="L224" s="109">
        <v>4.37</v>
      </c>
      <c r="M224" s="109">
        <v>343.5</v>
      </c>
      <c r="N224" s="109">
        <v>343.5</v>
      </c>
      <c r="O224" s="109">
        <v>343.5</v>
      </c>
      <c r="P224" s="109">
        <v>343.5</v>
      </c>
      <c r="Q224" s="87"/>
      <c r="R224" s="87" t="s">
        <v>888</v>
      </c>
      <c r="S224" s="87" t="s">
        <v>888</v>
      </c>
      <c r="T224" s="87"/>
      <c r="U224" s="311">
        <f t="shared" si="26"/>
        <v>4.37</v>
      </c>
      <c r="V224" s="311">
        <f t="shared" si="26"/>
        <v>4.37</v>
      </c>
      <c r="W224" s="311">
        <f t="shared" si="26"/>
        <v>4.37</v>
      </c>
      <c r="X224" s="311">
        <f t="shared" si="26"/>
        <v>4.37</v>
      </c>
      <c r="Y224" s="311">
        <f t="shared" si="26"/>
        <v>4.37</v>
      </c>
      <c r="Z224" s="311">
        <f t="shared" si="26"/>
        <v>4.37</v>
      </c>
      <c r="AA224" s="311">
        <f t="shared" si="26"/>
        <v>4.37</v>
      </c>
      <c r="AB224" s="311">
        <f t="shared" si="26"/>
        <v>4.37</v>
      </c>
      <c r="AC224" s="87"/>
      <c r="AD224" s="87"/>
      <c r="AE224" s="87"/>
      <c r="AF224" s="109">
        <v>1</v>
      </c>
      <c r="AG224" s="109">
        <v>1</v>
      </c>
      <c r="AH224" s="84"/>
      <c r="AI224" s="66"/>
      <c r="AJ224" s="54"/>
      <c r="AK224" s="54"/>
      <c r="AL224" s="54"/>
    </row>
    <row r="225" spans="1:38" outlineLevel="2" x14ac:dyDescent="0.25">
      <c r="A225" s="54"/>
      <c r="B225" s="63"/>
      <c r="C225" s="56">
        <f t="shared" si="27"/>
        <v>3</v>
      </c>
      <c r="D225" s="84"/>
      <c r="E225" s="79"/>
      <c r="F225" s="79" t="s">
        <v>906</v>
      </c>
      <c r="G225" s="84"/>
      <c r="H225" s="87" t="s">
        <v>907</v>
      </c>
      <c r="I225" s="108" t="s">
        <v>623</v>
      </c>
      <c r="J225" s="108"/>
      <c r="K225" s="109">
        <v>0.96499999999999997</v>
      </c>
      <c r="L225" s="109">
        <v>0.96499999999999997</v>
      </c>
      <c r="M225" s="109">
        <v>1.6400000000000001E-2</v>
      </c>
      <c r="N225" s="109">
        <v>1.6400000000000001E-2</v>
      </c>
      <c r="O225" s="109">
        <v>1.6400000000000001E-2</v>
      </c>
      <c r="P225" s="109">
        <v>1.6400000000000001E-2</v>
      </c>
      <c r="Q225" s="87"/>
      <c r="R225" s="87" t="s">
        <v>888</v>
      </c>
      <c r="S225" s="87" t="s">
        <v>888</v>
      </c>
      <c r="T225" s="87"/>
      <c r="U225" s="311">
        <f t="shared" si="26"/>
        <v>0.96499999999999997</v>
      </c>
      <c r="V225" s="311">
        <f t="shared" si="26"/>
        <v>0.96499999999999997</v>
      </c>
      <c r="W225" s="311">
        <f t="shared" si="26"/>
        <v>0.96499999999999997</v>
      </c>
      <c r="X225" s="311">
        <f t="shared" si="26"/>
        <v>0.96499999999999997</v>
      </c>
      <c r="Y225" s="311">
        <f t="shared" si="26"/>
        <v>0.96499999999999997</v>
      </c>
      <c r="Z225" s="311">
        <f t="shared" si="26"/>
        <v>0.96499999999999997</v>
      </c>
      <c r="AA225" s="311">
        <f t="shared" si="26"/>
        <v>0.96499999999999997</v>
      </c>
      <c r="AB225" s="311">
        <f t="shared" si="26"/>
        <v>0.96499999999999997</v>
      </c>
      <c r="AC225" s="87"/>
      <c r="AD225" s="87"/>
      <c r="AE225" s="87"/>
      <c r="AF225" s="109">
        <v>1</v>
      </c>
      <c r="AG225" s="109">
        <v>1</v>
      </c>
      <c r="AH225" s="84"/>
      <c r="AI225" s="66"/>
      <c r="AJ225" s="54"/>
      <c r="AK225" s="54"/>
      <c r="AL225" s="54"/>
    </row>
    <row r="226" spans="1:38" outlineLevel="2" x14ac:dyDescent="0.25">
      <c r="A226" s="54"/>
      <c r="B226" s="63"/>
      <c r="C226" s="56">
        <f t="shared" si="27"/>
        <v>3</v>
      </c>
      <c r="D226" s="84"/>
      <c r="E226" s="79"/>
      <c r="F226" s="79" t="s">
        <v>908</v>
      </c>
      <c r="G226" s="84"/>
      <c r="H226" s="87" t="s">
        <v>909</v>
      </c>
      <c r="I226" s="108" t="s">
        <v>896</v>
      </c>
      <c r="J226" s="108"/>
      <c r="K226" s="109">
        <v>0.14499999999999999</v>
      </c>
      <c r="L226" s="109">
        <v>0.14499999999999999</v>
      </c>
      <c r="M226" s="109">
        <v>0.13400000000000001</v>
      </c>
      <c r="N226" s="109">
        <v>0.13400000000000001</v>
      </c>
      <c r="O226" s="109">
        <v>0.13400000000000001</v>
      </c>
      <c r="P226" s="109">
        <v>0.13400000000000001</v>
      </c>
      <c r="Q226" s="87"/>
      <c r="R226" s="87" t="s">
        <v>888</v>
      </c>
      <c r="S226" s="87" t="s">
        <v>888</v>
      </c>
      <c r="T226" s="87"/>
      <c r="U226" s="311">
        <f t="shared" si="26"/>
        <v>0.14499999999999999</v>
      </c>
      <c r="V226" s="311">
        <f t="shared" si="26"/>
        <v>0.14499999999999999</v>
      </c>
      <c r="W226" s="311">
        <f t="shared" si="26"/>
        <v>0.14499999999999999</v>
      </c>
      <c r="X226" s="311">
        <f t="shared" si="26"/>
        <v>0.14499999999999999</v>
      </c>
      <c r="Y226" s="311">
        <f t="shared" si="26"/>
        <v>0.14499999999999999</v>
      </c>
      <c r="Z226" s="311">
        <f t="shared" si="26"/>
        <v>0.14499999999999999</v>
      </c>
      <c r="AA226" s="311">
        <f t="shared" si="26"/>
        <v>0.14499999999999999</v>
      </c>
      <c r="AB226" s="311">
        <f t="shared" si="26"/>
        <v>0.14499999999999999</v>
      </c>
      <c r="AC226" s="87"/>
      <c r="AD226" s="87"/>
      <c r="AE226" s="87"/>
      <c r="AF226" s="109">
        <v>1</v>
      </c>
      <c r="AG226" s="109">
        <v>1</v>
      </c>
      <c r="AH226" s="84"/>
      <c r="AI226" s="66"/>
      <c r="AJ226" s="54"/>
      <c r="AK226" s="54"/>
      <c r="AL226" s="54"/>
    </row>
    <row r="227" spans="1:38" outlineLevel="2" x14ac:dyDescent="0.25">
      <c r="A227" s="54"/>
      <c r="B227" s="63"/>
      <c r="C227" s="56">
        <f t="shared" si="27"/>
        <v>3</v>
      </c>
      <c r="D227" s="84"/>
      <c r="E227" s="79"/>
      <c r="F227" s="79" t="s">
        <v>910</v>
      </c>
      <c r="G227" s="84"/>
      <c r="H227" s="87" t="s">
        <v>911</v>
      </c>
      <c r="I227" s="108" t="s">
        <v>623</v>
      </c>
      <c r="J227" s="108"/>
      <c r="K227" s="109">
        <v>4.5599999999999996</v>
      </c>
      <c r="L227" s="109">
        <v>4.5599999999999996</v>
      </c>
      <c r="M227" s="109">
        <v>6.22</v>
      </c>
      <c r="N227" s="109">
        <v>6.22</v>
      </c>
      <c r="O227" s="109">
        <v>6.22</v>
      </c>
      <c r="P227" s="109">
        <v>6.22</v>
      </c>
      <c r="Q227" s="87"/>
      <c r="R227" s="87" t="s">
        <v>888</v>
      </c>
      <c r="S227" s="87" t="s">
        <v>888</v>
      </c>
      <c r="T227" s="87"/>
      <c r="U227" s="311">
        <f t="shared" si="26"/>
        <v>4.5599999999999996</v>
      </c>
      <c r="V227" s="311">
        <f t="shared" si="26"/>
        <v>4.5599999999999996</v>
      </c>
      <c r="W227" s="311">
        <f t="shared" si="26"/>
        <v>4.5599999999999996</v>
      </c>
      <c r="X227" s="311">
        <f t="shared" si="26"/>
        <v>4.5599999999999996</v>
      </c>
      <c r="Y227" s="311">
        <f t="shared" si="26"/>
        <v>4.5599999999999996</v>
      </c>
      <c r="Z227" s="311">
        <f t="shared" si="26"/>
        <v>4.5599999999999996</v>
      </c>
      <c r="AA227" s="311">
        <f t="shared" si="26"/>
        <v>4.5599999999999996</v>
      </c>
      <c r="AB227" s="311">
        <f t="shared" si="26"/>
        <v>4.5599999999999996</v>
      </c>
      <c r="AC227" s="87"/>
      <c r="AD227" s="87"/>
      <c r="AE227" s="87"/>
      <c r="AF227" s="109">
        <v>1</v>
      </c>
      <c r="AG227" s="109">
        <v>1</v>
      </c>
      <c r="AH227" s="84"/>
      <c r="AI227" s="66"/>
      <c r="AJ227" s="54"/>
      <c r="AK227" s="54"/>
      <c r="AL227" s="54"/>
    </row>
    <row r="228" spans="1:38" outlineLevel="2" x14ac:dyDescent="0.25">
      <c r="A228" s="54"/>
      <c r="B228" s="63"/>
      <c r="C228" s="56">
        <f t="shared" si="27"/>
        <v>3</v>
      </c>
      <c r="D228" s="84"/>
      <c r="E228" s="79"/>
      <c r="F228" s="79" t="s">
        <v>912</v>
      </c>
      <c r="G228" s="84"/>
      <c r="H228" s="87" t="s">
        <v>907</v>
      </c>
      <c r="I228" s="108" t="s">
        <v>652</v>
      </c>
      <c r="J228" s="108"/>
      <c r="K228" s="109">
        <v>0.9</v>
      </c>
      <c r="L228" s="109">
        <v>0.9</v>
      </c>
      <c r="M228" s="109">
        <v>0.747</v>
      </c>
      <c r="N228" s="109">
        <v>0.747</v>
      </c>
      <c r="O228" s="109">
        <v>0.747</v>
      </c>
      <c r="P228" s="109">
        <v>0.747</v>
      </c>
      <c r="Q228" s="87"/>
      <c r="R228" s="87" t="s">
        <v>888</v>
      </c>
      <c r="S228" s="87" t="s">
        <v>888</v>
      </c>
      <c r="T228" s="87"/>
      <c r="U228" s="311">
        <f t="shared" si="26"/>
        <v>0.9</v>
      </c>
      <c r="V228" s="311">
        <f t="shared" si="26"/>
        <v>0.9</v>
      </c>
      <c r="W228" s="311">
        <f t="shared" si="26"/>
        <v>0.9</v>
      </c>
      <c r="X228" s="311">
        <f t="shared" si="26"/>
        <v>0.9</v>
      </c>
      <c r="Y228" s="311">
        <f t="shared" si="26"/>
        <v>0.9</v>
      </c>
      <c r="Z228" s="311">
        <f t="shared" si="26"/>
        <v>0.9</v>
      </c>
      <c r="AA228" s="311">
        <f t="shared" si="26"/>
        <v>0.9</v>
      </c>
      <c r="AB228" s="311">
        <f t="shared" si="26"/>
        <v>0.9</v>
      </c>
      <c r="AC228" s="87"/>
      <c r="AD228" s="87"/>
      <c r="AE228" s="87"/>
      <c r="AF228" s="109">
        <v>1</v>
      </c>
      <c r="AG228" s="109">
        <v>1</v>
      </c>
      <c r="AH228" s="84"/>
      <c r="AI228" s="66"/>
      <c r="AJ228" s="54"/>
      <c r="AK228" s="54"/>
      <c r="AL228" s="54"/>
    </row>
    <row r="229" spans="1:38" hidden="1" outlineLevel="3" x14ac:dyDescent="0.25">
      <c r="A229" s="54"/>
      <c r="B229" s="63"/>
      <c r="C229" s="56">
        <f>INT($C$40)+3</f>
        <v>4</v>
      </c>
      <c r="D229" s="84"/>
      <c r="E229" s="79" t="s">
        <v>913</v>
      </c>
      <c r="F229" s="79" t="s">
        <v>914</v>
      </c>
      <c r="G229" s="84"/>
      <c r="H229" s="87" t="s">
        <v>915</v>
      </c>
      <c r="I229" s="108" t="s">
        <v>623</v>
      </c>
      <c r="J229" s="108"/>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916</v>
      </c>
      <c r="F230" s="79" t="s">
        <v>824</v>
      </c>
      <c r="G230" s="84"/>
      <c r="H230" s="87" t="s">
        <v>917</v>
      </c>
      <c r="I230" s="108" t="s">
        <v>623</v>
      </c>
      <c r="J230" s="108"/>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25">
      <c r="A231" s="54"/>
      <c r="B231" s="63"/>
      <c r="C231" s="56">
        <f>INT($C$40)+1</f>
        <v>2</v>
      </c>
      <c r="D231" s="84"/>
      <c r="E231" s="79"/>
      <c r="F231" s="314" t="s">
        <v>918</v>
      </c>
      <c r="G231" s="84"/>
      <c r="H231" s="304" t="s">
        <v>919</v>
      </c>
      <c r="I231" s="108"/>
      <c r="J231" s="108" t="s">
        <v>642</v>
      </c>
      <c r="K231" s="87"/>
      <c r="L231" s="87"/>
      <c r="M231" s="87"/>
      <c r="N231" s="87"/>
      <c r="O231" s="87"/>
      <c r="P231" s="87"/>
      <c r="Q231" s="87"/>
      <c r="R231" s="87"/>
      <c r="S231" s="87"/>
      <c r="T231" s="87"/>
      <c r="U231" s="91">
        <v>26</v>
      </c>
      <c r="V231" s="87"/>
      <c r="W231" s="317">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920</v>
      </c>
      <c r="F232" s="79" t="s">
        <v>921</v>
      </c>
      <c r="G232" s="84"/>
      <c r="H232" s="87" t="s">
        <v>922</v>
      </c>
      <c r="I232" s="108" t="s">
        <v>792</v>
      </c>
      <c r="J232" s="108"/>
      <c r="K232" s="87"/>
      <c r="L232" s="87"/>
      <c r="M232" s="87"/>
      <c r="N232" s="87"/>
      <c r="O232" s="87"/>
      <c r="P232" s="87"/>
      <c r="Q232" s="87"/>
      <c r="R232" s="87"/>
      <c r="S232" s="87"/>
      <c r="T232" s="87"/>
      <c r="U232" s="87"/>
      <c r="V232" s="87"/>
      <c r="W232" s="87"/>
      <c r="X232" s="87"/>
      <c r="Y232" s="87"/>
      <c r="Z232" s="87"/>
      <c r="AA232" s="87"/>
      <c r="AB232" s="87"/>
      <c r="AC232" s="87"/>
      <c r="AD232" s="87"/>
      <c r="AE232" s="87"/>
      <c r="AF232" s="109">
        <v>1</v>
      </c>
      <c r="AG232" s="109">
        <v>1</v>
      </c>
      <c r="AH232" s="84"/>
      <c r="AI232" s="66"/>
      <c r="AJ232" s="54"/>
      <c r="AK232" s="54"/>
      <c r="AL232" s="54"/>
    </row>
    <row r="233" spans="1:38" outlineLevel="2" x14ac:dyDescent="0.25">
      <c r="A233" s="54"/>
      <c r="B233" s="63"/>
      <c r="C233" s="56">
        <f t="shared" ref="C233:C257" si="28">INT($C$40)+2</f>
        <v>3</v>
      </c>
      <c r="D233" s="84"/>
      <c r="E233" s="79"/>
      <c r="F233" s="79" t="s">
        <v>923</v>
      </c>
      <c r="G233" s="84"/>
      <c r="H233" s="87" t="s">
        <v>924</v>
      </c>
      <c r="I233" s="108" t="s">
        <v>654</v>
      </c>
      <c r="J233" s="108"/>
      <c r="K233" s="109">
        <v>2</v>
      </c>
      <c r="L233" s="109">
        <v>2</v>
      </c>
      <c r="M233" s="109">
        <v>4</v>
      </c>
      <c r="N233" s="109">
        <v>4</v>
      </c>
      <c r="O233" s="109">
        <v>4</v>
      </c>
      <c r="P233" s="109">
        <v>4</v>
      </c>
      <c r="Q233" s="87"/>
      <c r="R233" s="87" t="s">
        <v>799</v>
      </c>
      <c r="S233" s="87" t="s">
        <v>925</v>
      </c>
      <c r="T233" s="87"/>
      <c r="U233" s="311">
        <f t="shared" ref="U233:AB239" si="29">INDEX($K233:$Q233,1,U$54)</f>
        <v>2</v>
      </c>
      <c r="V233" s="311">
        <f t="shared" si="29"/>
        <v>2</v>
      </c>
      <c r="W233" s="311">
        <f t="shared" si="29"/>
        <v>2</v>
      </c>
      <c r="X233" s="311">
        <f t="shared" si="29"/>
        <v>2</v>
      </c>
      <c r="Y233" s="311">
        <f t="shared" si="29"/>
        <v>2</v>
      </c>
      <c r="Z233" s="311">
        <f t="shared" si="29"/>
        <v>2</v>
      </c>
      <c r="AA233" s="311">
        <f t="shared" si="29"/>
        <v>2</v>
      </c>
      <c r="AB233" s="311">
        <f t="shared" si="29"/>
        <v>2</v>
      </c>
      <c r="AC233" s="87"/>
      <c r="AD233" s="87"/>
      <c r="AE233" s="87"/>
      <c r="AF233" s="109">
        <v>1</v>
      </c>
      <c r="AG233" s="109">
        <v>1</v>
      </c>
      <c r="AH233" s="84"/>
      <c r="AI233" s="66"/>
      <c r="AJ233" s="54"/>
      <c r="AK233" s="54"/>
      <c r="AL233" s="54"/>
    </row>
    <row r="234" spans="1:38" outlineLevel="2" x14ac:dyDescent="0.25">
      <c r="A234" s="54"/>
      <c r="B234" s="63"/>
      <c r="C234" s="56">
        <f t="shared" si="28"/>
        <v>3</v>
      </c>
      <c r="D234" s="84"/>
      <c r="E234" s="79"/>
      <c r="F234" s="79" t="s">
        <v>926</v>
      </c>
      <c r="G234" s="84"/>
      <c r="H234" s="87" t="s">
        <v>927</v>
      </c>
      <c r="I234" s="108" t="s">
        <v>654</v>
      </c>
      <c r="J234" s="108"/>
      <c r="K234" s="109">
        <v>22</v>
      </c>
      <c r="L234" s="109">
        <v>22</v>
      </c>
      <c r="M234" s="109">
        <v>30</v>
      </c>
      <c r="N234" s="109">
        <v>30</v>
      </c>
      <c r="O234" s="109">
        <v>30</v>
      </c>
      <c r="P234" s="109">
        <v>30</v>
      </c>
      <c r="Q234" s="87"/>
      <c r="R234" s="87" t="s">
        <v>799</v>
      </c>
      <c r="S234" s="87" t="s">
        <v>925</v>
      </c>
      <c r="T234" s="87"/>
      <c r="U234" s="311">
        <f t="shared" si="29"/>
        <v>22</v>
      </c>
      <c r="V234" s="311">
        <f t="shared" si="29"/>
        <v>22</v>
      </c>
      <c r="W234" s="311">
        <f t="shared" si="29"/>
        <v>22</v>
      </c>
      <c r="X234" s="311">
        <f t="shared" si="29"/>
        <v>22</v>
      </c>
      <c r="Y234" s="311">
        <f t="shared" si="29"/>
        <v>22</v>
      </c>
      <c r="Z234" s="311">
        <f t="shared" si="29"/>
        <v>22</v>
      </c>
      <c r="AA234" s="311">
        <f t="shared" si="29"/>
        <v>22</v>
      </c>
      <c r="AB234" s="311">
        <f t="shared" si="29"/>
        <v>22</v>
      </c>
      <c r="AC234" s="87"/>
      <c r="AD234" s="87"/>
      <c r="AE234" s="87"/>
      <c r="AF234" s="109">
        <v>1</v>
      </c>
      <c r="AG234" s="109">
        <v>1</v>
      </c>
      <c r="AH234" s="84"/>
      <c r="AI234" s="66"/>
      <c r="AJ234" s="54"/>
      <c r="AK234" s="54"/>
      <c r="AL234" s="54"/>
    </row>
    <row r="235" spans="1:38" outlineLevel="2" x14ac:dyDescent="0.25">
      <c r="A235" s="54"/>
      <c r="B235" s="63"/>
      <c r="C235" s="56">
        <f t="shared" si="28"/>
        <v>3</v>
      </c>
      <c r="D235" s="84"/>
      <c r="E235" s="79"/>
      <c r="F235" s="79" t="s">
        <v>928</v>
      </c>
      <c r="G235" s="84"/>
      <c r="H235" s="87" t="s">
        <v>929</v>
      </c>
      <c r="I235" s="108" t="s">
        <v>623</v>
      </c>
      <c r="J235" s="108"/>
      <c r="K235" s="109">
        <v>1</v>
      </c>
      <c r="L235" s="109">
        <v>1</v>
      </c>
      <c r="M235" s="109">
        <v>0.6</v>
      </c>
      <c r="N235" s="109">
        <v>0.6</v>
      </c>
      <c r="O235" s="109">
        <v>0.6</v>
      </c>
      <c r="P235" s="109">
        <v>0.6</v>
      </c>
      <c r="Q235" s="87"/>
      <c r="R235" s="87" t="s">
        <v>799</v>
      </c>
      <c r="S235" s="87" t="s">
        <v>925</v>
      </c>
      <c r="T235" s="87"/>
      <c r="U235" s="311">
        <f t="shared" si="29"/>
        <v>1</v>
      </c>
      <c r="V235" s="311">
        <f t="shared" si="29"/>
        <v>1</v>
      </c>
      <c r="W235" s="311">
        <f t="shared" si="29"/>
        <v>1</v>
      </c>
      <c r="X235" s="311">
        <f t="shared" si="29"/>
        <v>1</v>
      </c>
      <c r="Y235" s="311">
        <f t="shared" si="29"/>
        <v>1</v>
      </c>
      <c r="Z235" s="311">
        <f t="shared" si="29"/>
        <v>1</v>
      </c>
      <c r="AA235" s="311">
        <f t="shared" si="29"/>
        <v>1</v>
      </c>
      <c r="AB235" s="311">
        <f t="shared" si="29"/>
        <v>1</v>
      </c>
      <c r="AC235" s="87"/>
      <c r="AD235" s="87"/>
      <c r="AE235" s="87"/>
      <c r="AF235" s="109">
        <v>1</v>
      </c>
      <c r="AG235" s="109">
        <v>1</v>
      </c>
      <c r="AH235" s="84"/>
      <c r="AI235" s="66"/>
      <c r="AJ235" s="54"/>
      <c r="AK235" s="54"/>
      <c r="AL235" s="54"/>
    </row>
    <row r="236" spans="1:38" outlineLevel="2" x14ac:dyDescent="0.25">
      <c r="A236" s="54"/>
      <c r="B236" s="63"/>
      <c r="C236" s="56">
        <f t="shared" si="28"/>
        <v>3</v>
      </c>
      <c r="D236" s="84"/>
      <c r="E236" s="79"/>
      <c r="F236" s="79" t="s">
        <v>930</v>
      </c>
      <c r="G236" s="84"/>
      <c r="H236" s="87" t="s">
        <v>931</v>
      </c>
      <c r="I236" s="108" t="s">
        <v>623</v>
      </c>
      <c r="J236" s="108"/>
      <c r="K236" s="87"/>
      <c r="L236" s="87"/>
      <c r="M236" s="109">
        <v>0.6</v>
      </c>
      <c r="N236" s="109">
        <v>0.6</v>
      </c>
      <c r="O236" s="109">
        <v>0.6</v>
      </c>
      <c r="P236" s="109">
        <v>0.105</v>
      </c>
      <c r="Q236" s="87"/>
      <c r="R236" s="87"/>
      <c r="S236" s="87" t="s">
        <v>925</v>
      </c>
      <c r="T236" s="87"/>
      <c r="U236" s="311">
        <f t="shared" si="29"/>
        <v>0</v>
      </c>
      <c r="V236" s="311">
        <f t="shared" si="29"/>
        <v>0</v>
      </c>
      <c r="W236" s="311">
        <f t="shared" si="29"/>
        <v>0</v>
      </c>
      <c r="X236" s="311">
        <f t="shared" si="29"/>
        <v>0</v>
      </c>
      <c r="Y236" s="311">
        <f t="shared" si="29"/>
        <v>0</v>
      </c>
      <c r="Z236" s="311">
        <f t="shared" si="29"/>
        <v>0</v>
      </c>
      <c r="AA236" s="311">
        <f t="shared" si="29"/>
        <v>0</v>
      </c>
      <c r="AB236" s="311">
        <f t="shared" si="29"/>
        <v>0</v>
      </c>
      <c r="AC236" s="87"/>
      <c r="AD236" s="87"/>
      <c r="AE236" s="87"/>
      <c r="AF236" s="109">
        <v>1</v>
      </c>
      <c r="AG236" s="109">
        <v>1</v>
      </c>
      <c r="AH236" s="84"/>
      <c r="AI236" s="66"/>
      <c r="AJ236" s="54"/>
      <c r="AK236" s="54"/>
      <c r="AL236" s="54"/>
    </row>
    <row r="237" spans="1:38" outlineLevel="2" x14ac:dyDescent="0.25">
      <c r="A237" s="54"/>
      <c r="B237" s="63"/>
      <c r="C237" s="56">
        <f t="shared" si="28"/>
        <v>3</v>
      </c>
      <c r="D237" s="84"/>
      <c r="E237" s="79"/>
      <c r="F237" s="79" t="s">
        <v>932</v>
      </c>
      <c r="G237" s="84"/>
      <c r="H237" s="87" t="s">
        <v>933</v>
      </c>
      <c r="I237" s="108" t="s">
        <v>697</v>
      </c>
      <c r="J237" s="108"/>
      <c r="K237" s="109">
        <v>0.94</v>
      </c>
      <c r="L237" s="109">
        <v>0.94</v>
      </c>
      <c r="M237" s="109">
        <v>0.94</v>
      </c>
      <c r="N237" s="109">
        <v>0.94</v>
      </c>
      <c r="O237" s="109">
        <v>0.94</v>
      </c>
      <c r="P237" s="109">
        <v>0.94</v>
      </c>
      <c r="Q237" s="87"/>
      <c r="R237" s="87" t="s">
        <v>751</v>
      </c>
      <c r="S237" s="87" t="s">
        <v>751</v>
      </c>
      <c r="T237" s="87"/>
      <c r="U237" s="311">
        <f t="shared" si="29"/>
        <v>0.94</v>
      </c>
      <c r="V237" s="311">
        <f t="shared" si="29"/>
        <v>0.94</v>
      </c>
      <c r="W237" s="311">
        <f t="shared" si="29"/>
        <v>0.94</v>
      </c>
      <c r="X237" s="311">
        <f t="shared" si="29"/>
        <v>0.94</v>
      </c>
      <c r="Y237" s="311">
        <f t="shared" si="29"/>
        <v>0.94</v>
      </c>
      <c r="Z237" s="311">
        <f t="shared" si="29"/>
        <v>0.94</v>
      </c>
      <c r="AA237" s="311">
        <f t="shared" si="29"/>
        <v>0.94</v>
      </c>
      <c r="AB237" s="311">
        <f t="shared" si="29"/>
        <v>0.94</v>
      </c>
      <c r="AC237" s="87"/>
      <c r="AD237" s="87"/>
      <c r="AE237" s="87"/>
      <c r="AF237" s="109">
        <v>1</v>
      </c>
      <c r="AG237" s="109">
        <v>1</v>
      </c>
      <c r="AH237" s="84"/>
      <c r="AI237" s="66"/>
      <c r="AJ237" s="54"/>
      <c r="AK237" s="54"/>
      <c r="AL237" s="54"/>
    </row>
    <row r="238" spans="1:38" outlineLevel="2" x14ac:dyDescent="0.25">
      <c r="A238" s="54"/>
      <c r="B238" s="63"/>
      <c r="C238" s="56">
        <f t="shared" si="28"/>
        <v>3</v>
      </c>
      <c r="D238" s="84"/>
      <c r="E238" s="79"/>
      <c r="F238" s="79" t="s">
        <v>934</v>
      </c>
      <c r="G238" s="84"/>
      <c r="H238" s="87" t="s">
        <v>935</v>
      </c>
      <c r="I238" s="108" t="s">
        <v>718</v>
      </c>
      <c r="J238" s="108"/>
      <c r="K238" s="109">
        <v>4.7</v>
      </c>
      <c r="L238" s="109">
        <v>4.7</v>
      </c>
      <c r="M238" s="109">
        <v>3.1</v>
      </c>
      <c r="N238" s="109">
        <v>3.1</v>
      </c>
      <c r="O238" s="109">
        <v>3.1</v>
      </c>
      <c r="P238" s="109">
        <v>3.1</v>
      </c>
      <c r="Q238" s="87"/>
      <c r="R238" s="87" t="s">
        <v>936</v>
      </c>
      <c r="S238" s="87" t="s">
        <v>634</v>
      </c>
      <c r="T238" s="87"/>
      <c r="U238" s="311">
        <f t="shared" si="29"/>
        <v>4.7</v>
      </c>
      <c r="V238" s="311">
        <f t="shared" si="29"/>
        <v>4.7</v>
      </c>
      <c r="W238" s="311">
        <f t="shared" si="29"/>
        <v>4.7</v>
      </c>
      <c r="X238" s="311">
        <f t="shared" si="29"/>
        <v>4.7</v>
      </c>
      <c r="Y238" s="311">
        <f t="shared" si="29"/>
        <v>4.7</v>
      </c>
      <c r="Z238" s="311">
        <f t="shared" si="29"/>
        <v>4.7</v>
      </c>
      <c r="AA238" s="311">
        <f t="shared" si="29"/>
        <v>4.7</v>
      </c>
      <c r="AB238" s="311">
        <f t="shared" si="29"/>
        <v>4.7</v>
      </c>
      <c r="AC238" s="87"/>
      <c r="AD238" s="87"/>
      <c r="AE238" s="87"/>
      <c r="AF238" s="109">
        <v>1</v>
      </c>
      <c r="AG238" s="109">
        <v>1</v>
      </c>
      <c r="AH238" s="84"/>
      <c r="AI238" s="66"/>
      <c r="AJ238" s="54"/>
      <c r="AK238" s="54"/>
      <c r="AL238" s="54"/>
    </row>
    <row r="239" spans="1:38" outlineLevel="2" collapsed="1" x14ac:dyDescent="0.25">
      <c r="A239" s="54"/>
      <c r="B239" s="63"/>
      <c r="C239" s="56">
        <f t="shared" si="28"/>
        <v>3</v>
      </c>
      <c r="D239" s="84"/>
      <c r="E239" s="79"/>
      <c r="F239" s="79" t="s">
        <v>937</v>
      </c>
      <c r="G239" s="84"/>
      <c r="H239" s="87" t="s">
        <v>938</v>
      </c>
      <c r="I239" s="108" t="s">
        <v>623</v>
      </c>
      <c r="J239" s="108"/>
      <c r="K239" s="109">
        <v>1.17</v>
      </c>
      <c r="L239" s="109">
        <v>1.17</v>
      </c>
      <c r="M239" s="109">
        <v>1.17</v>
      </c>
      <c r="N239" s="109">
        <v>1.17</v>
      </c>
      <c r="O239" s="109">
        <v>1.17</v>
      </c>
      <c r="P239" s="109">
        <v>1.17</v>
      </c>
      <c r="Q239" s="87"/>
      <c r="R239" s="87" t="s">
        <v>799</v>
      </c>
      <c r="S239" s="87" t="s">
        <v>673</v>
      </c>
      <c r="T239" s="87"/>
      <c r="U239" s="311">
        <f t="shared" si="29"/>
        <v>1.17</v>
      </c>
      <c r="V239" s="311">
        <f t="shared" si="29"/>
        <v>1.17</v>
      </c>
      <c r="W239" s="311">
        <f t="shared" si="29"/>
        <v>1.17</v>
      </c>
      <c r="X239" s="311">
        <f t="shared" si="29"/>
        <v>1.17</v>
      </c>
      <c r="Y239" s="311">
        <f t="shared" si="29"/>
        <v>1.17</v>
      </c>
      <c r="Z239" s="311">
        <f t="shared" si="29"/>
        <v>1.17</v>
      </c>
      <c r="AA239" s="311">
        <f t="shared" si="29"/>
        <v>1.17</v>
      </c>
      <c r="AB239" s="311">
        <f t="shared" si="29"/>
        <v>1.17</v>
      </c>
      <c r="AC239" s="87"/>
      <c r="AD239" s="87"/>
      <c r="AE239" s="87"/>
      <c r="AF239" s="109">
        <v>1</v>
      </c>
      <c r="AG239" s="109">
        <v>1</v>
      </c>
      <c r="AH239" s="84"/>
      <c r="AI239" s="66"/>
      <c r="AJ239" s="54"/>
      <c r="AK239" s="54"/>
      <c r="AL239" s="54"/>
    </row>
    <row r="240" spans="1:38" hidden="1" outlineLevel="3" x14ac:dyDescent="0.25">
      <c r="A240" s="54"/>
      <c r="B240" s="63"/>
      <c r="C240" s="56">
        <f t="shared" si="28"/>
        <v>3</v>
      </c>
      <c r="D240" s="84"/>
      <c r="E240" s="79"/>
      <c r="F240" s="79" t="s">
        <v>939</v>
      </c>
      <c r="G240" s="84"/>
      <c r="H240" s="87" t="s">
        <v>679</v>
      </c>
      <c r="I240" s="108" t="s">
        <v>623</v>
      </c>
      <c r="J240" s="108"/>
      <c r="K240" s="109">
        <v>0.77</v>
      </c>
      <c r="L240" s="109">
        <v>0.77</v>
      </c>
      <c r="M240" s="87"/>
      <c r="N240" s="87"/>
      <c r="O240" s="87"/>
      <c r="P240" s="87"/>
      <c r="Q240" s="87"/>
      <c r="R240" s="87" t="s">
        <v>799</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940</v>
      </c>
      <c r="G241" s="84"/>
      <c r="H241" s="87" t="s">
        <v>679</v>
      </c>
      <c r="I241" s="108" t="s">
        <v>623</v>
      </c>
      <c r="J241" s="108"/>
      <c r="K241" s="109">
        <v>0</v>
      </c>
      <c r="L241" s="109">
        <v>0</v>
      </c>
      <c r="M241" s="87"/>
      <c r="N241" s="87"/>
      <c r="O241" s="87"/>
      <c r="P241" s="87"/>
      <c r="Q241" s="87"/>
      <c r="R241" s="87" t="s">
        <v>799</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941</v>
      </c>
      <c r="G242" s="84"/>
      <c r="H242" s="87" t="s">
        <v>679</v>
      </c>
      <c r="I242" s="108" t="s">
        <v>623</v>
      </c>
      <c r="J242" s="108"/>
      <c r="K242" s="109">
        <v>0.4</v>
      </c>
      <c r="L242" s="109">
        <v>0.4</v>
      </c>
      <c r="M242" s="109">
        <v>0.04</v>
      </c>
      <c r="N242" s="109">
        <v>0.04</v>
      </c>
      <c r="O242" s="109">
        <v>0.04</v>
      </c>
      <c r="P242" s="109">
        <v>0.04</v>
      </c>
      <c r="Q242" s="87"/>
      <c r="R242" s="87" t="s">
        <v>799</v>
      </c>
      <c r="S242" s="87" t="s">
        <v>673</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942</v>
      </c>
      <c r="G243" s="84"/>
      <c r="H243" s="87" t="s">
        <v>679</v>
      </c>
      <c r="I243" s="108" t="s">
        <v>623</v>
      </c>
      <c r="J243" s="108"/>
      <c r="K243" s="109">
        <v>30</v>
      </c>
      <c r="L243" s="109">
        <v>30</v>
      </c>
      <c r="M243" s="109">
        <v>90</v>
      </c>
      <c r="N243" s="109">
        <v>90</v>
      </c>
      <c r="O243" s="109">
        <v>90</v>
      </c>
      <c r="P243" s="109">
        <v>90</v>
      </c>
      <c r="Q243" s="87"/>
      <c r="R243" s="87" t="s">
        <v>673</v>
      </c>
      <c r="S243" s="87" t="s">
        <v>673</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25">
      <c r="A244" s="54"/>
      <c r="B244" s="63"/>
      <c r="C244" s="56">
        <f t="shared" si="28"/>
        <v>3</v>
      </c>
      <c r="D244" s="84"/>
      <c r="E244" s="79"/>
      <c r="F244" s="79" t="s">
        <v>943</v>
      </c>
      <c r="G244" s="84"/>
      <c r="H244" s="87" t="s">
        <v>944</v>
      </c>
      <c r="I244" s="108" t="s">
        <v>945</v>
      </c>
      <c r="J244" s="108"/>
      <c r="K244" s="109">
        <v>0.3</v>
      </c>
      <c r="L244" s="109">
        <v>0.3</v>
      </c>
      <c r="M244" s="109">
        <v>0.42</v>
      </c>
      <c r="N244" s="109">
        <v>0.42</v>
      </c>
      <c r="O244" s="109">
        <v>0.42</v>
      </c>
      <c r="P244" s="109">
        <v>0.42</v>
      </c>
      <c r="Q244" s="87"/>
      <c r="R244" s="87" t="s">
        <v>673</v>
      </c>
      <c r="S244" s="87" t="s">
        <v>673</v>
      </c>
      <c r="T244" s="87"/>
      <c r="U244" s="311">
        <f t="shared" ref="U244:AB257" si="30">INDEX($K244:$Q244,1,U$54)</f>
        <v>0.3</v>
      </c>
      <c r="V244" s="311">
        <f t="shared" si="30"/>
        <v>0.3</v>
      </c>
      <c r="W244" s="311">
        <f t="shared" si="30"/>
        <v>0.3</v>
      </c>
      <c r="X244" s="311">
        <f t="shared" si="30"/>
        <v>0.3</v>
      </c>
      <c r="Y244" s="311">
        <f t="shared" si="30"/>
        <v>0.3</v>
      </c>
      <c r="Z244" s="311">
        <f t="shared" si="30"/>
        <v>0.3</v>
      </c>
      <c r="AA244" s="311">
        <f t="shared" si="30"/>
        <v>0.3</v>
      </c>
      <c r="AB244" s="311">
        <f t="shared" si="30"/>
        <v>0.3</v>
      </c>
      <c r="AC244" s="87"/>
      <c r="AD244" s="87"/>
      <c r="AE244" s="87"/>
      <c r="AF244" s="109">
        <v>1</v>
      </c>
      <c r="AG244" s="109">
        <v>1</v>
      </c>
      <c r="AH244" s="84"/>
      <c r="AI244" s="66"/>
      <c r="AJ244" s="54"/>
      <c r="AK244" s="54"/>
      <c r="AL244" s="54"/>
    </row>
    <row r="245" spans="1:38" outlineLevel="2" x14ac:dyDescent="0.25">
      <c r="A245" s="54"/>
      <c r="B245" s="63"/>
      <c r="C245" s="56">
        <f t="shared" si="28"/>
        <v>3</v>
      </c>
      <c r="D245" s="84"/>
      <c r="E245" s="79"/>
      <c r="F245" s="79" t="s">
        <v>946</v>
      </c>
      <c r="G245" s="84"/>
      <c r="H245" s="87" t="s">
        <v>947</v>
      </c>
      <c r="I245" s="108" t="s">
        <v>945</v>
      </c>
      <c r="J245" s="108"/>
      <c r="K245" s="109">
        <v>0.41</v>
      </c>
      <c r="L245" s="109">
        <v>0.41</v>
      </c>
      <c r="M245" s="109">
        <v>0.57999999999999996</v>
      </c>
      <c r="N245" s="109">
        <v>0.57999999999999996</v>
      </c>
      <c r="O245" s="109">
        <v>0.57999999999999996</v>
      </c>
      <c r="P245" s="109">
        <v>0.57999999999999996</v>
      </c>
      <c r="Q245" s="87"/>
      <c r="R245" s="87" t="s">
        <v>948</v>
      </c>
      <c r="S245" s="87" t="s">
        <v>948</v>
      </c>
      <c r="T245" s="87"/>
      <c r="U245" s="311">
        <f t="shared" si="30"/>
        <v>0.41</v>
      </c>
      <c r="V245" s="311">
        <f t="shared" si="30"/>
        <v>0.41</v>
      </c>
      <c r="W245" s="311">
        <f t="shared" si="30"/>
        <v>0.41</v>
      </c>
      <c r="X245" s="311">
        <f t="shared" si="30"/>
        <v>0.41</v>
      </c>
      <c r="Y245" s="311">
        <f t="shared" si="30"/>
        <v>0.41</v>
      </c>
      <c r="Z245" s="311">
        <f t="shared" si="30"/>
        <v>0.41</v>
      </c>
      <c r="AA245" s="311">
        <f t="shared" si="30"/>
        <v>0.41</v>
      </c>
      <c r="AB245" s="311">
        <f t="shared" si="30"/>
        <v>0.41</v>
      </c>
      <c r="AC245" s="87"/>
      <c r="AD245" s="87"/>
      <c r="AE245" s="87"/>
      <c r="AF245" s="109">
        <v>1</v>
      </c>
      <c r="AG245" s="109">
        <v>1</v>
      </c>
      <c r="AH245" s="84"/>
      <c r="AI245" s="66"/>
      <c r="AJ245" s="54"/>
      <c r="AK245" s="54"/>
      <c r="AL245" s="54"/>
    </row>
    <row r="246" spans="1:38" outlineLevel="2" x14ac:dyDescent="0.25">
      <c r="A246" s="54"/>
      <c r="B246" s="63"/>
      <c r="C246" s="56">
        <f t="shared" si="28"/>
        <v>3</v>
      </c>
      <c r="D246" s="84"/>
      <c r="E246" s="79"/>
      <c r="F246" s="79" t="s">
        <v>949</v>
      </c>
      <c r="G246" s="84"/>
      <c r="H246" s="87" t="s">
        <v>950</v>
      </c>
      <c r="I246" s="108" t="s">
        <v>654</v>
      </c>
      <c r="J246" s="108"/>
      <c r="K246" s="109">
        <v>7.0999999999999994E-2</v>
      </c>
      <c r="L246" s="109">
        <v>7.0999999999999994E-2</v>
      </c>
      <c r="M246" s="109">
        <v>3.5999999999999997E-2</v>
      </c>
      <c r="N246" s="109">
        <v>3.5999999999999997E-2</v>
      </c>
      <c r="O246" s="109">
        <v>3.5999999999999997E-2</v>
      </c>
      <c r="P246" s="109">
        <v>3.5999999999999997E-2</v>
      </c>
      <c r="Q246" s="87"/>
      <c r="R246" s="87" t="s">
        <v>948</v>
      </c>
      <c r="S246" s="87" t="s">
        <v>948</v>
      </c>
      <c r="T246" s="87"/>
      <c r="U246" s="311">
        <f t="shared" si="30"/>
        <v>7.0999999999999994E-2</v>
      </c>
      <c r="V246" s="311">
        <f t="shared" si="30"/>
        <v>7.0999999999999994E-2</v>
      </c>
      <c r="W246" s="311">
        <f t="shared" si="30"/>
        <v>7.0999999999999994E-2</v>
      </c>
      <c r="X246" s="311">
        <f t="shared" si="30"/>
        <v>7.0999999999999994E-2</v>
      </c>
      <c r="Y246" s="311">
        <f t="shared" si="30"/>
        <v>7.0999999999999994E-2</v>
      </c>
      <c r="Z246" s="311">
        <f t="shared" si="30"/>
        <v>7.0999999999999994E-2</v>
      </c>
      <c r="AA246" s="311">
        <f t="shared" si="30"/>
        <v>7.0999999999999994E-2</v>
      </c>
      <c r="AB246" s="311">
        <f t="shared" si="30"/>
        <v>7.0999999999999994E-2</v>
      </c>
      <c r="AC246" s="87"/>
      <c r="AD246" s="87"/>
      <c r="AE246" s="87"/>
      <c r="AF246" s="109">
        <v>1</v>
      </c>
      <c r="AG246" s="109">
        <v>1</v>
      </c>
      <c r="AH246" s="84"/>
      <c r="AI246" s="66"/>
      <c r="AJ246" s="54"/>
      <c r="AK246" s="54"/>
      <c r="AL246" s="54"/>
    </row>
    <row r="247" spans="1:38" outlineLevel="2" x14ac:dyDescent="0.25">
      <c r="A247" s="54"/>
      <c r="B247" s="63"/>
      <c r="C247" s="56">
        <f t="shared" si="28"/>
        <v>3</v>
      </c>
      <c r="D247" s="84"/>
      <c r="E247" s="79"/>
      <c r="F247" s="79" t="s">
        <v>951</v>
      </c>
      <c r="G247" s="84"/>
      <c r="H247" s="87" t="s">
        <v>952</v>
      </c>
      <c r="I247" s="108" t="s">
        <v>697</v>
      </c>
      <c r="J247" s="108"/>
      <c r="K247" s="109">
        <v>4.4999999999999998E-2</v>
      </c>
      <c r="L247" s="109">
        <v>4.4999999999999998E-2</v>
      </c>
      <c r="M247" s="109">
        <v>3.2000000000000001E-2</v>
      </c>
      <c r="N247" s="109">
        <v>3.2000000000000001E-2</v>
      </c>
      <c r="O247" s="109">
        <v>3.2000000000000001E-2</v>
      </c>
      <c r="P247" s="109">
        <v>3.2000000000000001E-2</v>
      </c>
      <c r="Q247" s="87"/>
      <c r="R247" s="87" t="s">
        <v>936</v>
      </c>
      <c r="S247" s="87" t="s">
        <v>948</v>
      </c>
      <c r="T247" s="87"/>
      <c r="U247" s="311">
        <f t="shared" si="30"/>
        <v>4.4999999999999998E-2</v>
      </c>
      <c r="V247" s="311">
        <f t="shared" si="30"/>
        <v>4.4999999999999998E-2</v>
      </c>
      <c r="W247" s="311">
        <f t="shared" si="30"/>
        <v>4.4999999999999998E-2</v>
      </c>
      <c r="X247" s="311">
        <f t="shared" si="30"/>
        <v>4.4999999999999998E-2</v>
      </c>
      <c r="Y247" s="311">
        <f t="shared" si="30"/>
        <v>4.4999999999999998E-2</v>
      </c>
      <c r="Z247" s="311">
        <f t="shared" si="30"/>
        <v>4.4999999999999998E-2</v>
      </c>
      <c r="AA247" s="311">
        <f t="shared" si="30"/>
        <v>4.4999999999999998E-2</v>
      </c>
      <c r="AB247" s="311">
        <f t="shared" si="30"/>
        <v>4.4999999999999998E-2</v>
      </c>
      <c r="AC247" s="87"/>
      <c r="AD247" s="87"/>
      <c r="AE247" s="87"/>
      <c r="AF247" s="109">
        <v>1</v>
      </c>
      <c r="AG247" s="109">
        <v>1</v>
      </c>
      <c r="AH247" s="84"/>
      <c r="AI247" s="66"/>
      <c r="AJ247" s="54"/>
      <c r="AK247" s="54"/>
      <c r="AL247" s="54"/>
    </row>
    <row r="248" spans="1:38" outlineLevel="2" x14ac:dyDescent="0.25">
      <c r="A248" s="54"/>
      <c r="B248" s="63"/>
      <c r="C248" s="56">
        <f t="shared" si="28"/>
        <v>3</v>
      </c>
      <c r="D248" s="84"/>
      <c r="E248" s="79"/>
      <c r="F248" s="79" t="s">
        <v>953</v>
      </c>
      <c r="G248" s="84"/>
      <c r="H248" s="87" t="s">
        <v>954</v>
      </c>
      <c r="I248" s="108" t="s">
        <v>623</v>
      </c>
      <c r="J248" s="108"/>
      <c r="K248" s="109">
        <v>0.7</v>
      </c>
      <c r="L248" s="109">
        <v>0.7</v>
      </c>
      <c r="M248" s="109">
        <v>0.7</v>
      </c>
      <c r="N248" s="109">
        <v>0.7</v>
      </c>
      <c r="O248" s="109">
        <v>0.7</v>
      </c>
      <c r="P248" s="109">
        <v>0.7</v>
      </c>
      <c r="Q248" s="87"/>
      <c r="R248" s="87" t="s">
        <v>799</v>
      </c>
      <c r="S248" s="87" t="s">
        <v>673</v>
      </c>
      <c r="T248" s="87"/>
      <c r="U248" s="311">
        <f t="shared" si="30"/>
        <v>0.7</v>
      </c>
      <c r="V248" s="311">
        <f t="shared" si="30"/>
        <v>0.7</v>
      </c>
      <c r="W248" s="311">
        <f t="shared" si="30"/>
        <v>0.7</v>
      </c>
      <c r="X248" s="311">
        <f t="shared" si="30"/>
        <v>0.7</v>
      </c>
      <c r="Y248" s="311">
        <f t="shared" si="30"/>
        <v>0.7</v>
      </c>
      <c r="Z248" s="311">
        <f t="shared" si="30"/>
        <v>0.7</v>
      </c>
      <c r="AA248" s="311">
        <f t="shared" si="30"/>
        <v>0.7</v>
      </c>
      <c r="AB248" s="311">
        <f t="shared" si="30"/>
        <v>0.7</v>
      </c>
      <c r="AC248" s="87"/>
      <c r="AD248" s="87"/>
      <c r="AE248" s="87"/>
      <c r="AF248" s="109">
        <v>1</v>
      </c>
      <c r="AG248" s="109">
        <v>1</v>
      </c>
      <c r="AH248" s="84"/>
      <c r="AI248" s="66"/>
      <c r="AJ248" s="54"/>
      <c r="AK248" s="54"/>
      <c r="AL248" s="54"/>
    </row>
    <row r="249" spans="1:38" outlineLevel="2" x14ac:dyDescent="0.25">
      <c r="A249" s="54"/>
      <c r="B249" s="63"/>
      <c r="C249" s="56">
        <f t="shared" si="28"/>
        <v>3</v>
      </c>
      <c r="D249" s="84"/>
      <c r="E249" s="79"/>
      <c r="F249" s="79" t="s">
        <v>955</v>
      </c>
      <c r="G249" s="84"/>
      <c r="H249" s="87" t="s">
        <v>956</v>
      </c>
      <c r="I249" s="108" t="s">
        <v>623</v>
      </c>
      <c r="J249" s="108"/>
      <c r="K249" s="109">
        <v>0.01</v>
      </c>
      <c r="L249" s="109">
        <v>0.01</v>
      </c>
      <c r="M249" s="109">
        <v>0.01</v>
      </c>
      <c r="N249" s="109">
        <v>0.01</v>
      </c>
      <c r="O249" s="109">
        <v>0.01</v>
      </c>
      <c r="P249" s="109">
        <v>0.01</v>
      </c>
      <c r="Q249" s="87"/>
      <c r="R249" s="87" t="s">
        <v>799</v>
      </c>
      <c r="S249" s="87" t="s">
        <v>673</v>
      </c>
      <c r="T249" s="87"/>
      <c r="U249" s="311">
        <f t="shared" si="30"/>
        <v>0.01</v>
      </c>
      <c r="V249" s="311">
        <f t="shared" si="30"/>
        <v>0.01</v>
      </c>
      <c r="W249" s="311">
        <f t="shared" si="30"/>
        <v>0.01</v>
      </c>
      <c r="X249" s="311">
        <f t="shared" si="30"/>
        <v>0.01</v>
      </c>
      <c r="Y249" s="311">
        <f t="shared" si="30"/>
        <v>0.01</v>
      </c>
      <c r="Z249" s="311">
        <f t="shared" si="30"/>
        <v>0.01</v>
      </c>
      <c r="AA249" s="311">
        <f t="shared" si="30"/>
        <v>0.01</v>
      </c>
      <c r="AB249" s="311">
        <f t="shared" si="30"/>
        <v>0.01</v>
      </c>
      <c r="AC249" s="87"/>
      <c r="AD249" s="87"/>
      <c r="AE249" s="87"/>
      <c r="AF249" s="109">
        <v>1</v>
      </c>
      <c r="AG249" s="109">
        <v>1</v>
      </c>
      <c r="AH249" s="84"/>
      <c r="AI249" s="66"/>
      <c r="AJ249" s="54"/>
      <c r="AK249" s="54"/>
      <c r="AL249" s="54"/>
    </row>
    <row r="250" spans="1:38" outlineLevel="2" x14ac:dyDescent="0.25">
      <c r="A250" s="54"/>
      <c r="B250" s="63"/>
      <c r="C250" s="56">
        <f t="shared" si="28"/>
        <v>3</v>
      </c>
      <c r="D250" s="84"/>
      <c r="E250" s="79"/>
      <c r="F250" s="79" t="s">
        <v>957</v>
      </c>
      <c r="G250" s="84"/>
      <c r="H250" s="87" t="s">
        <v>956</v>
      </c>
      <c r="I250" s="108" t="s">
        <v>623</v>
      </c>
      <c r="J250" s="108"/>
      <c r="K250" s="109">
        <v>0.1</v>
      </c>
      <c r="L250" s="109">
        <v>0.1</v>
      </c>
      <c r="M250" s="109">
        <v>0.1</v>
      </c>
      <c r="N250" s="109">
        <v>0.1</v>
      </c>
      <c r="O250" s="109">
        <v>0.1</v>
      </c>
      <c r="P250" s="109">
        <v>0.1</v>
      </c>
      <c r="Q250" s="87"/>
      <c r="R250" s="87" t="s">
        <v>799</v>
      </c>
      <c r="S250" s="87" t="s">
        <v>673</v>
      </c>
      <c r="T250" s="87"/>
      <c r="U250" s="311">
        <f t="shared" si="30"/>
        <v>0.1</v>
      </c>
      <c r="V250" s="311">
        <f t="shared" si="30"/>
        <v>0.1</v>
      </c>
      <c r="W250" s="311">
        <f t="shared" si="30"/>
        <v>0.1</v>
      </c>
      <c r="X250" s="311">
        <f t="shared" si="30"/>
        <v>0.1</v>
      </c>
      <c r="Y250" s="311">
        <f t="shared" si="30"/>
        <v>0.1</v>
      </c>
      <c r="Z250" s="311">
        <f t="shared" si="30"/>
        <v>0.1</v>
      </c>
      <c r="AA250" s="311">
        <f t="shared" si="30"/>
        <v>0.1</v>
      </c>
      <c r="AB250" s="311">
        <f t="shared" si="30"/>
        <v>0.1</v>
      </c>
      <c r="AC250" s="87"/>
      <c r="AD250" s="87"/>
      <c r="AE250" s="87"/>
      <c r="AF250" s="109">
        <v>1</v>
      </c>
      <c r="AG250" s="109">
        <v>1</v>
      </c>
      <c r="AH250" s="84"/>
      <c r="AI250" s="66"/>
      <c r="AJ250" s="54"/>
      <c r="AK250" s="54"/>
      <c r="AL250" s="54"/>
    </row>
    <row r="251" spans="1:38" outlineLevel="2" x14ac:dyDescent="0.25">
      <c r="A251" s="54"/>
      <c r="B251" s="63"/>
      <c r="C251" s="56">
        <f t="shared" si="28"/>
        <v>3</v>
      </c>
      <c r="D251" s="84"/>
      <c r="E251" s="79"/>
      <c r="F251" s="79" t="s">
        <v>958</v>
      </c>
      <c r="G251" s="84"/>
      <c r="H251" s="87" t="s">
        <v>959</v>
      </c>
      <c r="I251" s="108" t="s">
        <v>623</v>
      </c>
      <c r="J251" s="108"/>
      <c r="K251" s="109">
        <v>1.6</v>
      </c>
      <c r="L251" s="109">
        <v>1.6</v>
      </c>
      <c r="M251" s="109">
        <v>1.6</v>
      </c>
      <c r="N251" s="109">
        <v>1.6</v>
      </c>
      <c r="O251" s="109">
        <v>1.6</v>
      </c>
      <c r="P251" s="109">
        <v>1.6</v>
      </c>
      <c r="Q251" s="87"/>
      <c r="R251" s="87" t="s">
        <v>799</v>
      </c>
      <c r="S251" s="87" t="s">
        <v>673</v>
      </c>
      <c r="T251" s="87"/>
      <c r="U251" s="311">
        <f t="shared" si="30"/>
        <v>1.6</v>
      </c>
      <c r="V251" s="311">
        <f t="shared" si="30"/>
        <v>1.6</v>
      </c>
      <c r="W251" s="311">
        <f t="shared" si="30"/>
        <v>1.6</v>
      </c>
      <c r="X251" s="311">
        <f t="shared" si="30"/>
        <v>1.6</v>
      </c>
      <c r="Y251" s="311">
        <f t="shared" si="30"/>
        <v>1.6</v>
      </c>
      <c r="Z251" s="311">
        <f t="shared" si="30"/>
        <v>1.6</v>
      </c>
      <c r="AA251" s="311">
        <f t="shared" si="30"/>
        <v>1.6</v>
      </c>
      <c r="AB251" s="311">
        <f t="shared" si="30"/>
        <v>1.6</v>
      </c>
      <c r="AC251" s="87"/>
      <c r="AD251" s="87"/>
      <c r="AE251" s="87"/>
      <c r="AF251" s="109">
        <v>1</v>
      </c>
      <c r="AG251" s="109">
        <v>1</v>
      </c>
      <c r="AH251" s="84"/>
      <c r="AI251" s="66"/>
      <c r="AJ251" s="54"/>
      <c r="AK251" s="54"/>
      <c r="AL251" s="54"/>
    </row>
    <row r="252" spans="1:38" outlineLevel="2" x14ac:dyDescent="0.25">
      <c r="A252" s="54"/>
      <c r="B252" s="63"/>
      <c r="C252" s="56">
        <f t="shared" si="28"/>
        <v>3</v>
      </c>
      <c r="D252" s="84"/>
      <c r="E252" s="79"/>
      <c r="F252" s="79" t="s">
        <v>960</v>
      </c>
      <c r="G252" s="84"/>
      <c r="H252" s="87" t="s">
        <v>961</v>
      </c>
      <c r="I252" s="108" t="s">
        <v>623</v>
      </c>
      <c r="J252" s="108"/>
      <c r="K252" s="109">
        <v>4</v>
      </c>
      <c r="L252" s="109">
        <v>4</v>
      </c>
      <c r="M252" s="109">
        <v>4</v>
      </c>
      <c r="N252" s="109">
        <v>4</v>
      </c>
      <c r="O252" s="109">
        <v>4</v>
      </c>
      <c r="P252" s="109">
        <v>4</v>
      </c>
      <c r="Q252" s="87"/>
      <c r="R252" s="87" t="s">
        <v>799</v>
      </c>
      <c r="S252" s="87" t="s">
        <v>673</v>
      </c>
      <c r="T252" s="87"/>
      <c r="U252" s="311">
        <f t="shared" si="30"/>
        <v>4</v>
      </c>
      <c r="V252" s="311">
        <f t="shared" si="30"/>
        <v>4</v>
      </c>
      <c r="W252" s="311">
        <f t="shared" si="30"/>
        <v>4</v>
      </c>
      <c r="X252" s="311">
        <f t="shared" si="30"/>
        <v>4</v>
      </c>
      <c r="Y252" s="311">
        <f t="shared" si="30"/>
        <v>4</v>
      </c>
      <c r="Z252" s="311">
        <f t="shared" si="30"/>
        <v>4</v>
      </c>
      <c r="AA252" s="311">
        <f t="shared" si="30"/>
        <v>4</v>
      </c>
      <c r="AB252" s="311">
        <f t="shared" si="30"/>
        <v>4</v>
      </c>
      <c r="AC252" s="87"/>
      <c r="AD252" s="87"/>
      <c r="AE252" s="87"/>
      <c r="AF252" s="109">
        <v>1</v>
      </c>
      <c r="AG252" s="109">
        <v>1</v>
      </c>
      <c r="AH252" s="84"/>
      <c r="AI252" s="66"/>
      <c r="AJ252" s="54"/>
      <c r="AK252" s="54"/>
      <c r="AL252" s="54"/>
    </row>
    <row r="253" spans="1:38" outlineLevel="2" x14ac:dyDescent="0.25">
      <c r="A253" s="54"/>
      <c r="B253" s="63"/>
      <c r="C253" s="56">
        <f t="shared" si="28"/>
        <v>3</v>
      </c>
      <c r="D253" s="84"/>
      <c r="E253" s="79"/>
      <c r="F253" s="79" t="s">
        <v>962</v>
      </c>
      <c r="G253" s="84"/>
      <c r="H253" s="87" t="s">
        <v>963</v>
      </c>
      <c r="I253" s="108" t="s">
        <v>623</v>
      </c>
      <c r="J253" s="108"/>
      <c r="K253" s="109">
        <v>8.0000000000000002E-3</v>
      </c>
      <c r="L253" s="109">
        <v>8.0000000000000002E-3</v>
      </c>
      <c r="M253" s="109">
        <v>4.0000000000000001E-3</v>
      </c>
      <c r="N253" s="109">
        <v>4.0000000000000001E-3</v>
      </c>
      <c r="O253" s="109">
        <v>4.0000000000000001E-3</v>
      </c>
      <c r="P253" s="109">
        <v>2.7000000000000001E-3</v>
      </c>
      <c r="Q253" s="87"/>
      <c r="R253" s="87" t="s">
        <v>799</v>
      </c>
      <c r="S253" s="87" t="s">
        <v>673</v>
      </c>
      <c r="T253" s="87"/>
      <c r="U253" s="311">
        <f t="shared" si="30"/>
        <v>8.0000000000000002E-3</v>
      </c>
      <c r="V253" s="311">
        <f t="shared" si="30"/>
        <v>8.0000000000000002E-3</v>
      </c>
      <c r="W253" s="311">
        <f t="shared" si="30"/>
        <v>8.0000000000000002E-3</v>
      </c>
      <c r="X253" s="311">
        <f t="shared" si="30"/>
        <v>8.0000000000000002E-3</v>
      </c>
      <c r="Y253" s="311">
        <f t="shared" si="30"/>
        <v>8.0000000000000002E-3</v>
      </c>
      <c r="Z253" s="311">
        <f t="shared" si="30"/>
        <v>8.0000000000000002E-3</v>
      </c>
      <c r="AA253" s="311">
        <f t="shared" si="30"/>
        <v>8.0000000000000002E-3</v>
      </c>
      <c r="AB253" s="311">
        <f t="shared" si="30"/>
        <v>8.0000000000000002E-3</v>
      </c>
      <c r="AC253" s="87"/>
      <c r="AD253" s="87"/>
      <c r="AE253" s="87"/>
      <c r="AF253" s="109">
        <v>1</v>
      </c>
      <c r="AG253" s="109">
        <v>1</v>
      </c>
      <c r="AH253" s="84"/>
      <c r="AI253" s="66"/>
      <c r="AJ253" s="54"/>
      <c r="AK253" s="54"/>
      <c r="AL253" s="54"/>
    </row>
    <row r="254" spans="1:38" outlineLevel="2" x14ac:dyDescent="0.25">
      <c r="A254" s="54"/>
      <c r="B254" s="63"/>
      <c r="C254" s="56">
        <f t="shared" si="28"/>
        <v>3</v>
      </c>
      <c r="D254" s="84"/>
      <c r="E254" s="79"/>
      <c r="F254" s="79" t="s">
        <v>964</v>
      </c>
      <c r="G254" s="84"/>
      <c r="H254" s="87" t="s">
        <v>963</v>
      </c>
      <c r="I254" s="108" t="s">
        <v>623</v>
      </c>
      <c r="J254" s="108"/>
      <c r="K254" s="109">
        <v>1.2E-2</v>
      </c>
      <c r="L254" s="109">
        <v>1.2E-2</v>
      </c>
      <c r="M254" s="109">
        <v>6.0000000000000001E-3</v>
      </c>
      <c r="N254" s="109">
        <v>6.0000000000000001E-3</v>
      </c>
      <c r="O254" s="109">
        <v>6.0000000000000001E-3</v>
      </c>
      <c r="P254" s="109">
        <v>4.0000000000000001E-3</v>
      </c>
      <c r="Q254" s="87"/>
      <c r="R254" s="87" t="s">
        <v>799</v>
      </c>
      <c r="S254" s="87" t="s">
        <v>673</v>
      </c>
      <c r="T254" s="87"/>
      <c r="U254" s="311">
        <f t="shared" si="30"/>
        <v>1.2E-2</v>
      </c>
      <c r="V254" s="311">
        <f t="shared" si="30"/>
        <v>1.2E-2</v>
      </c>
      <c r="W254" s="311">
        <f t="shared" si="30"/>
        <v>1.2E-2</v>
      </c>
      <c r="X254" s="311">
        <f t="shared" si="30"/>
        <v>1.2E-2</v>
      </c>
      <c r="Y254" s="311">
        <f t="shared" si="30"/>
        <v>1.2E-2</v>
      </c>
      <c r="Z254" s="311">
        <f t="shared" si="30"/>
        <v>1.2E-2</v>
      </c>
      <c r="AA254" s="311">
        <f t="shared" si="30"/>
        <v>1.2E-2</v>
      </c>
      <c r="AB254" s="311">
        <f t="shared" si="30"/>
        <v>1.2E-2</v>
      </c>
      <c r="AC254" s="87"/>
      <c r="AD254" s="87"/>
      <c r="AE254" s="87"/>
      <c r="AF254" s="109">
        <v>1</v>
      </c>
      <c r="AG254" s="109">
        <v>1</v>
      </c>
      <c r="AH254" s="84"/>
      <c r="AI254" s="66"/>
      <c r="AJ254" s="54"/>
      <c r="AK254" s="54"/>
      <c r="AL254" s="54"/>
    </row>
    <row r="255" spans="1:38" outlineLevel="2" x14ac:dyDescent="0.25">
      <c r="A255" s="54"/>
      <c r="B255" s="63"/>
      <c r="C255" s="56">
        <f t="shared" si="28"/>
        <v>3</v>
      </c>
      <c r="D255" s="84"/>
      <c r="E255" s="79"/>
      <c r="F255" s="79" t="s">
        <v>965</v>
      </c>
      <c r="G255" s="84"/>
      <c r="H255" s="87" t="s">
        <v>966</v>
      </c>
      <c r="I255" s="108" t="s">
        <v>623</v>
      </c>
      <c r="J255" s="108"/>
      <c r="K255" s="109">
        <v>3</v>
      </c>
      <c r="L255" s="109">
        <v>3</v>
      </c>
      <c r="M255" s="109">
        <v>3</v>
      </c>
      <c r="N255" s="109">
        <v>3</v>
      </c>
      <c r="O255" s="109">
        <v>3</v>
      </c>
      <c r="P255" s="109">
        <v>3</v>
      </c>
      <c r="Q255" s="87"/>
      <c r="R255" s="87" t="s">
        <v>799</v>
      </c>
      <c r="S255" s="87" t="s">
        <v>673</v>
      </c>
      <c r="T255" s="87"/>
      <c r="U255" s="311">
        <f t="shared" si="30"/>
        <v>3</v>
      </c>
      <c r="V255" s="311">
        <f t="shared" si="30"/>
        <v>3</v>
      </c>
      <c r="W255" s="311">
        <f t="shared" si="30"/>
        <v>3</v>
      </c>
      <c r="X255" s="311">
        <f t="shared" si="30"/>
        <v>3</v>
      </c>
      <c r="Y255" s="311">
        <f t="shared" si="30"/>
        <v>3</v>
      </c>
      <c r="Z255" s="311">
        <f t="shared" si="30"/>
        <v>3</v>
      </c>
      <c r="AA255" s="311">
        <f t="shared" si="30"/>
        <v>3</v>
      </c>
      <c r="AB255" s="311">
        <f t="shared" si="30"/>
        <v>3</v>
      </c>
      <c r="AC255" s="87"/>
      <c r="AD255" s="87"/>
      <c r="AE255" s="87"/>
      <c r="AF255" s="109">
        <v>1</v>
      </c>
      <c r="AG255" s="109">
        <v>1</v>
      </c>
      <c r="AH255" s="84"/>
      <c r="AI255" s="66"/>
      <c r="AJ255" s="54"/>
      <c r="AK255" s="54"/>
      <c r="AL255" s="54"/>
    </row>
    <row r="256" spans="1:38" outlineLevel="2" x14ac:dyDescent="0.25">
      <c r="A256" s="54"/>
      <c r="B256" s="63"/>
      <c r="C256" s="56">
        <f t="shared" si="28"/>
        <v>3</v>
      </c>
      <c r="D256" s="84"/>
      <c r="E256" s="79"/>
      <c r="F256" s="79" t="s">
        <v>967</v>
      </c>
      <c r="G256" s="84"/>
      <c r="H256" s="87" t="s">
        <v>966</v>
      </c>
      <c r="I256" s="108" t="s">
        <v>623</v>
      </c>
      <c r="J256" s="108"/>
      <c r="K256" s="109">
        <v>0.6</v>
      </c>
      <c r="L256" s="109">
        <v>0.6</v>
      </c>
      <c r="M256" s="109">
        <v>0.6</v>
      </c>
      <c r="N256" s="109">
        <v>0.6</v>
      </c>
      <c r="O256" s="109">
        <v>0.6</v>
      </c>
      <c r="P256" s="109">
        <v>0.6</v>
      </c>
      <c r="Q256" s="87"/>
      <c r="R256" s="87" t="s">
        <v>968</v>
      </c>
      <c r="S256" s="87" t="s">
        <v>673</v>
      </c>
      <c r="T256" s="87"/>
      <c r="U256" s="311">
        <f t="shared" si="30"/>
        <v>0.6</v>
      </c>
      <c r="V256" s="311">
        <f t="shared" si="30"/>
        <v>0.6</v>
      </c>
      <c r="W256" s="311">
        <f t="shared" si="30"/>
        <v>0.6</v>
      </c>
      <c r="X256" s="311">
        <f t="shared" si="30"/>
        <v>0.6</v>
      </c>
      <c r="Y256" s="311">
        <f t="shared" si="30"/>
        <v>0.6</v>
      </c>
      <c r="Z256" s="311">
        <f t="shared" si="30"/>
        <v>0.6</v>
      </c>
      <c r="AA256" s="311">
        <f t="shared" si="30"/>
        <v>0.6</v>
      </c>
      <c r="AB256" s="311">
        <f t="shared" si="30"/>
        <v>0.6</v>
      </c>
      <c r="AC256" s="87"/>
      <c r="AD256" s="87"/>
      <c r="AE256" s="87"/>
      <c r="AF256" s="109">
        <v>1</v>
      </c>
      <c r="AG256" s="109">
        <v>1</v>
      </c>
      <c r="AH256" s="84"/>
      <c r="AI256" s="66"/>
      <c r="AJ256" s="54"/>
      <c r="AK256" s="54"/>
      <c r="AL256" s="54"/>
    </row>
    <row r="257" spans="1:38" outlineLevel="2" x14ac:dyDescent="0.25">
      <c r="A257" s="54"/>
      <c r="B257" s="63"/>
      <c r="C257" s="56">
        <f t="shared" si="28"/>
        <v>3</v>
      </c>
      <c r="D257" s="84"/>
      <c r="E257" s="79"/>
      <c r="F257" s="79" t="s">
        <v>969</v>
      </c>
      <c r="G257" s="84"/>
      <c r="H257" s="87" t="s">
        <v>970</v>
      </c>
      <c r="I257" s="108" t="s">
        <v>623</v>
      </c>
      <c r="J257" s="108"/>
      <c r="K257" s="109">
        <v>0.17</v>
      </c>
      <c r="L257" s="109">
        <v>0.17</v>
      </c>
      <c r="M257" s="109">
        <v>0.13</v>
      </c>
      <c r="N257" s="109">
        <v>0.13</v>
      </c>
      <c r="O257" s="109">
        <v>0.13</v>
      </c>
      <c r="P257" s="109">
        <v>0.13</v>
      </c>
      <c r="Q257" s="87"/>
      <c r="R257" s="87" t="s">
        <v>971</v>
      </c>
      <c r="S257" s="87"/>
      <c r="T257" s="87"/>
      <c r="U257" s="311">
        <f t="shared" si="30"/>
        <v>0.17</v>
      </c>
      <c r="V257" s="311">
        <f t="shared" si="30"/>
        <v>0.17</v>
      </c>
      <c r="W257" s="311">
        <f t="shared" si="30"/>
        <v>0.17</v>
      </c>
      <c r="X257" s="311">
        <f t="shared" si="30"/>
        <v>0.17</v>
      </c>
      <c r="Y257" s="311">
        <f t="shared" si="30"/>
        <v>0.17</v>
      </c>
      <c r="Z257" s="311">
        <f t="shared" si="30"/>
        <v>0.17</v>
      </c>
      <c r="AA257" s="311">
        <f t="shared" si="30"/>
        <v>0.17</v>
      </c>
      <c r="AB257" s="311">
        <f t="shared" si="30"/>
        <v>0.17</v>
      </c>
      <c r="AC257" s="87"/>
      <c r="AD257" s="87"/>
      <c r="AE257" s="87"/>
      <c r="AF257" s="109">
        <v>1</v>
      </c>
      <c r="AG257" s="109">
        <v>1</v>
      </c>
      <c r="AH257" s="84"/>
      <c r="AI257" s="66"/>
      <c r="AJ257" s="54"/>
      <c r="AK257" s="54"/>
      <c r="AL257" s="54"/>
    </row>
    <row r="258" spans="1:38" outlineLevel="1" x14ac:dyDescent="0.25">
      <c r="A258" s="54"/>
      <c r="B258" s="63"/>
      <c r="C258" s="56">
        <f>INT($C$40)+1</f>
        <v>2</v>
      </c>
      <c r="D258" s="84"/>
      <c r="E258" s="79"/>
      <c r="F258" s="314" t="s">
        <v>542</v>
      </c>
      <c r="G258" s="84"/>
      <c r="H258" s="304" t="s">
        <v>972</v>
      </c>
      <c r="I258" s="108"/>
      <c r="J258" s="108" t="s">
        <v>642</v>
      </c>
      <c r="K258" s="87"/>
      <c r="L258" s="87"/>
      <c r="M258" s="87"/>
      <c r="N258" s="87"/>
      <c r="O258" s="87"/>
      <c r="P258" s="87"/>
      <c r="Q258" s="87"/>
      <c r="R258" s="87"/>
      <c r="S258" s="87"/>
      <c r="T258" s="87"/>
      <c r="U258" s="91">
        <f>COUNTA($H$259:$H$275)</f>
        <v>17</v>
      </c>
      <c r="V258" s="87"/>
      <c r="W258" s="91">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973</v>
      </c>
      <c r="F259" s="79" t="s">
        <v>974</v>
      </c>
      <c r="G259" s="84"/>
      <c r="H259" s="87" t="s">
        <v>616</v>
      </c>
      <c r="I259" s="108"/>
      <c r="J259" s="108"/>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25">
      <c r="A260" s="54"/>
      <c r="B260" s="63"/>
      <c r="C260" s="56">
        <f t="shared" ref="C260:C272" si="31">INT($C$40)+2</f>
        <v>3</v>
      </c>
      <c r="D260" s="84"/>
      <c r="E260" s="79"/>
      <c r="F260" s="79" t="s">
        <v>975</v>
      </c>
      <c r="G260" s="84"/>
      <c r="H260" s="87" t="s">
        <v>976</v>
      </c>
      <c r="I260" s="108" t="s">
        <v>977</v>
      </c>
      <c r="J260" s="108"/>
      <c r="K260" s="109">
        <f>23*0.85</f>
        <v>19.55</v>
      </c>
      <c r="L260" s="109">
        <f>22*0.85</f>
        <v>18.7</v>
      </c>
      <c r="M260" s="87"/>
      <c r="N260" s="87"/>
      <c r="O260" s="87"/>
      <c r="P260" s="87"/>
      <c r="Q260" s="87"/>
      <c r="R260" s="87" t="s">
        <v>978</v>
      </c>
      <c r="S260" s="87"/>
      <c r="T260" s="87"/>
      <c r="U260" s="311">
        <f t="shared" ref="U260:AB261" si="32">INDEX($K260:$Q260,1,U$54)</f>
        <v>19.55</v>
      </c>
      <c r="V260" s="311">
        <f t="shared" si="32"/>
        <v>19.55</v>
      </c>
      <c r="W260" s="311">
        <f t="shared" si="32"/>
        <v>19.55</v>
      </c>
      <c r="X260" s="311">
        <f t="shared" si="32"/>
        <v>18.7</v>
      </c>
      <c r="Y260" s="311">
        <f t="shared" si="32"/>
        <v>18.7</v>
      </c>
      <c r="Z260" s="311">
        <f t="shared" si="32"/>
        <v>18.7</v>
      </c>
      <c r="AA260" s="311">
        <f t="shared" si="32"/>
        <v>18.7</v>
      </c>
      <c r="AB260" s="311">
        <f t="shared" si="32"/>
        <v>18.7</v>
      </c>
      <c r="AC260" s="87"/>
      <c r="AD260" s="87"/>
      <c r="AE260" s="87"/>
      <c r="AF260" s="109">
        <v>1</v>
      </c>
      <c r="AG260" s="109">
        <v>1</v>
      </c>
      <c r="AH260" s="84"/>
      <c r="AI260" s="66"/>
      <c r="AJ260" s="54"/>
      <c r="AK260" s="54"/>
      <c r="AL260" s="54"/>
    </row>
    <row r="261" spans="1:38" outlineLevel="2" x14ac:dyDescent="0.25">
      <c r="A261" s="54"/>
      <c r="B261" s="63"/>
      <c r="C261" s="56">
        <f t="shared" si="31"/>
        <v>3</v>
      </c>
      <c r="D261" s="84"/>
      <c r="E261" s="79"/>
      <c r="F261" s="79" t="s">
        <v>979</v>
      </c>
      <c r="G261" s="84"/>
      <c r="H261" s="87" t="s">
        <v>980</v>
      </c>
      <c r="I261" s="108" t="s">
        <v>981</v>
      </c>
      <c r="J261" s="108"/>
      <c r="K261" s="109">
        <v>4.0000000000000001E-3</v>
      </c>
      <c r="L261" s="109">
        <v>4.0000000000000001E-3</v>
      </c>
      <c r="M261" s="87"/>
      <c r="N261" s="87"/>
      <c r="O261" s="87"/>
      <c r="P261" s="87"/>
      <c r="Q261" s="87"/>
      <c r="R261" s="87" t="s">
        <v>634</v>
      </c>
      <c r="S261" s="87"/>
      <c r="T261" s="87"/>
      <c r="U261" s="311">
        <f t="shared" si="32"/>
        <v>4.0000000000000001E-3</v>
      </c>
      <c r="V261" s="311">
        <f t="shared" si="32"/>
        <v>4.0000000000000001E-3</v>
      </c>
      <c r="W261" s="311">
        <f t="shared" si="32"/>
        <v>4.0000000000000001E-3</v>
      </c>
      <c r="X261" s="311">
        <f t="shared" si="32"/>
        <v>4.0000000000000001E-3</v>
      </c>
      <c r="Y261" s="311">
        <f t="shared" si="32"/>
        <v>4.0000000000000001E-3</v>
      </c>
      <c r="Z261" s="311">
        <f t="shared" si="32"/>
        <v>4.0000000000000001E-3</v>
      </c>
      <c r="AA261" s="311">
        <f t="shared" si="32"/>
        <v>4.0000000000000001E-3</v>
      </c>
      <c r="AB261" s="311">
        <f t="shared" si="32"/>
        <v>4.0000000000000001E-3</v>
      </c>
      <c r="AC261" s="87"/>
      <c r="AD261" s="87"/>
      <c r="AE261" s="87"/>
      <c r="AF261" s="109">
        <v>1</v>
      </c>
      <c r="AG261" s="109">
        <v>1</v>
      </c>
      <c r="AH261" s="84"/>
      <c r="AI261" s="66"/>
      <c r="AJ261" s="54"/>
      <c r="AK261" s="54"/>
      <c r="AL261" s="54"/>
    </row>
    <row r="262" spans="1:38" outlineLevel="2" x14ac:dyDescent="0.25">
      <c r="A262" s="54"/>
      <c r="B262" s="63"/>
      <c r="C262" s="56">
        <f t="shared" si="31"/>
        <v>3</v>
      </c>
      <c r="D262" s="84"/>
      <c r="E262" s="79"/>
      <c r="F262" s="79" t="s">
        <v>982</v>
      </c>
      <c r="G262" s="84"/>
      <c r="H262" s="87" t="s">
        <v>983</v>
      </c>
      <c r="I262" s="108" t="s">
        <v>697</v>
      </c>
      <c r="J262" s="108"/>
      <c r="K262" s="87"/>
      <c r="L262" s="87"/>
      <c r="M262" s="87"/>
      <c r="N262" s="87"/>
      <c r="O262" s="87"/>
      <c r="P262" s="87"/>
      <c r="Q262" s="87"/>
      <c r="R262" s="87"/>
      <c r="S262" s="87"/>
      <c r="T262" s="87"/>
      <c r="U262" s="109">
        <v>0.6</v>
      </c>
      <c r="V262" s="109">
        <v>0.6</v>
      </c>
      <c r="W262" s="109">
        <v>0.6</v>
      </c>
      <c r="X262" s="109">
        <v>0.6</v>
      </c>
      <c r="Y262" s="109">
        <v>0.6</v>
      </c>
      <c r="Z262" s="109">
        <v>0.6</v>
      </c>
      <c r="AA262" s="109">
        <v>0.6</v>
      </c>
      <c r="AB262" s="109">
        <v>0.6</v>
      </c>
      <c r="AC262" s="87"/>
      <c r="AD262" s="109" t="s">
        <v>984</v>
      </c>
      <c r="AE262" s="87"/>
      <c r="AF262" s="109">
        <v>1</v>
      </c>
      <c r="AG262" s="109">
        <v>1</v>
      </c>
      <c r="AH262" s="84"/>
      <c r="AI262" s="66"/>
      <c r="AJ262" s="54"/>
      <c r="AK262" s="54"/>
      <c r="AL262" s="54"/>
    </row>
    <row r="263" spans="1:38" outlineLevel="2" x14ac:dyDescent="0.25">
      <c r="A263" s="54"/>
      <c r="B263" s="63"/>
      <c r="C263" s="56">
        <f t="shared" si="31"/>
        <v>3</v>
      </c>
      <c r="D263" s="84"/>
      <c r="E263" s="79"/>
      <c r="F263" s="79" t="s">
        <v>985</v>
      </c>
      <c r="G263" s="84"/>
      <c r="H263" s="87" t="s">
        <v>986</v>
      </c>
      <c r="I263" s="108" t="s">
        <v>697</v>
      </c>
      <c r="J263" s="108"/>
      <c r="K263" s="109">
        <v>0.04</v>
      </c>
      <c r="L263" s="109">
        <v>0.04</v>
      </c>
      <c r="M263" s="87"/>
      <c r="N263" s="87"/>
      <c r="O263" s="87"/>
      <c r="P263" s="87"/>
      <c r="Q263" s="87"/>
      <c r="R263" s="87" t="s">
        <v>987</v>
      </c>
      <c r="S263" s="87"/>
      <c r="T263" s="87"/>
      <c r="U263" s="311">
        <f t="shared" ref="U263:AB264" si="33">INDEX($K263:$Q263,1,U$54)</f>
        <v>0.04</v>
      </c>
      <c r="V263" s="311">
        <f t="shared" si="33"/>
        <v>0.04</v>
      </c>
      <c r="W263" s="311">
        <f t="shared" si="33"/>
        <v>0.04</v>
      </c>
      <c r="X263" s="311">
        <f t="shared" si="33"/>
        <v>0.04</v>
      </c>
      <c r="Y263" s="311">
        <f t="shared" si="33"/>
        <v>0.04</v>
      </c>
      <c r="Z263" s="311">
        <f t="shared" si="33"/>
        <v>0.04</v>
      </c>
      <c r="AA263" s="311">
        <f t="shared" si="33"/>
        <v>0.04</v>
      </c>
      <c r="AB263" s="311">
        <f t="shared" si="33"/>
        <v>0.04</v>
      </c>
      <c r="AC263" s="87"/>
      <c r="AD263" s="87"/>
      <c r="AE263" s="87"/>
      <c r="AF263" s="109">
        <v>1</v>
      </c>
      <c r="AG263" s="109">
        <v>1</v>
      </c>
      <c r="AH263" s="84"/>
      <c r="AI263" s="66"/>
      <c r="AJ263" s="54"/>
      <c r="AK263" s="54"/>
      <c r="AL263" s="54"/>
    </row>
    <row r="264" spans="1:38" outlineLevel="2" x14ac:dyDescent="0.25">
      <c r="A264" s="54"/>
      <c r="B264" s="63"/>
      <c r="C264" s="56">
        <f t="shared" si="31"/>
        <v>3</v>
      </c>
      <c r="D264" s="84"/>
      <c r="E264" s="79"/>
      <c r="F264" s="79" t="s">
        <v>988</v>
      </c>
      <c r="G264" s="84"/>
      <c r="H264" s="87" t="s">
        <v>989</v>
      </c>
      <c r="I264" s="108" t="s">
        <v>652</v>
      </c>
      <c r="J264" s="108"/>
      <c r="K264" s="109">
        <v>0.25</v>
      </c>
      <c r="L264" s="109">
        <v>0.25</v>
      </c>
      <c r="M264" s="87"/>
      <c r="N264" s="87"/>
      <c r="O264" s="87"/>
      <c r="P264" s="87"/>
      <c r="Q264" s="87"/>
      <c r="R264" s="87" t="s">
        <v>990</v>
      </c>
      <c r="S264" s="87"/>
      <c r="T264" s="87"/>
      <c r="U264" s="311">
        <f t="shared" si="33"/>
        <v>0.25</v>
      </c>
      <c r="V264" s="311">
        <f t="shared" si="33"/>
        <v>0.25</v>
      </c>
      <c r="W264" s="311">
        <f t="shared" si="33"/>
        <v>0.25</v>
      </c>
      <c r="X264" s="311">
        <f t="shared" si="33"/>
        <v>0.25</v>
      </c>
      <c r="Y264" s="311">
        <f t="shared" si="33"/>
        <v>0.25</v>
      </c>
      <c r="Z264" s="311">
        <f t="shared" si="33"/>
        <v>0.25</v>
      </c>
      <c r="AA264" s="311">
        <f t="shared" si="33"/>
        <v>0.25</v>
      </c>
      <c r="AB264" s="311">
        <f t="shared" si="33"/>
        <v>0.25</v>
      </c>
      <c r="AC264" s="87"/>
      <c r="AD264" s="87"/>
      <c r="AE264" s="87"/>
      <c r="AF264" s="109">
        <v>1</v>
      </c>
      <c r="AG264" s="109">
        <v>1</v>
      </c>
      <c r="AH264" s="84"/>
      <c r="AI264" s="66"/>
      <c r="AJ264" s="54"/>
      <c r="AK264" s="54"/>
      <c r="AL264" s="54"/>
    </row>
    <row r="265" spans="1:38" outlineLevel="2" x14ac:dyDescent="0.25">
      <c r="A265" s="54"/>
      <c r="B265" s="63"/>
      <c r="C265" s="56">
        <f t="shared" si="31"/>
        <v>3</v>
      </c>
      <c r="D265" s="84"/>
      <c r="E265" s="79"/>
      <c r="F265" s="79" t="s">
        <v>991</v>
      </c>
      <c r="G265" s="84"/>
      <c r="H265" s="87" t="s">
        <v>992</v>
      </c>
      <c r="I265" s="108" t="s">
        <v>993</v>
      </c>
      <c r="J265" s="108"/>
      <c r="K265" s="87"/>
      <c r="L265" s="87"/>
      <c r="M265" s="87"/>
      <c r="N265" s="87"/>
      <c r="O265" s="87"/>
      <c r="P265" s="87"/>
      <c r="Q265" s="87"/>
      <c r="R265" s="87" t="s">
        <v>994</v>
      </c>
      <c r="S265" s="87"/>
      <c r="T265" s="87"/>
      <c r="U265" s="109">
        <v>0.03</v>
      </c>
      <c r="V265" s="109">
        <v>0.03</v>
      </c>
      <c r="W265" s="109">
        <v>0.03</v>
      </c>
      <c r="X265" s="109">
        <v>0.2</v>
      </c>
      <c r="Y265" s="109">
        <v>0.06</v>
      </c>
      <c r="Z265" s="109">
        <v>0.06</v>
      </c>
      <c r="AA265" s="109">
        <v>0.11</v>
      </c>
      <c r="AB265" s="109">
        <v>0.11</v>
      </c>
      <c r="AC265" s="87"/>
      <c r="AD265" s="109" t="s">
        <v>994</v>
      </c>
      <c r="AE265" s="87"/>
      <c r="AF265" s="109">
        <v>1</v>
      </c>
      <c r="AG265" s="109">
        <v>1</v>
      </c>
      <c r="AH265" s="84"/>
      <c r="AI265" s="66"/>
      <c r="AJ265" s="54"/>
      <c r="AK265" s="54"/>
      <c r="AL265" s="54"/>
    </row>
    <row r="266" spans="1:38" outlineLevel="2" x14ac:dyDescent="0.25">
      <c r="A266" s="54"/>
      <c r="B266" s="63"/>
      <c r="C266" s="56">
        <f t="shared" si="31"/>
        <v>3</v>
      </c>
      <c r="D266" s="84"/>
      <c r="E266" s="79"/>
      <c r="F266" s="79" t="s">
        <v>995</v>
      </c>
      <c r="G266" s="84"/>
      <c r="H266" s="87" t="s">
        <v>996</v>
      </c>
      <c r="I266" s="108" t="s">
        <v>647</v>
      </c>
      <c r="J266" s="108"/>
      <c r="K266" s="109">
        <v>1.35</v>
      </c>
      <c r="L266" s="109">
        <v>1.35</v>
      </c>
      <c r="M266" s="87"/>
      <c r="N266" s="87"/>
      <c r="O266" s="87"/>
      <c r="P266" s="87"/>
      <c r="Q266" s="87"/>
      <c r="R266" s="87" t="s">
        <v>997</v>
      </c>
      <c r="S266" s="87"/>
      <c r="T266" s="87"/>
      <c r="U266" s="311">
        <f t="shared" ref="U266:AB269" si="34">INDEX($K266:$Q266,1,U$54)</f>
        <v>1.35</v>
      </c>
      <c r="V266" s="311">
        <f t="shared" si="34"/>
        <v>1.35</v>
      </c>
      <c r="W266" s="311">
        <f t="shared" si="34"/>
        <v>1.35</v>
      </c>
      <c r="X266" s="311">
        <f t="shared" si="34"/>
        <v>1.35</v>
      </c>
      <c r="Y266" s="311">
        <f t="shared" si="34"/>
        <v>1.35</v>
      </c>
      <c r="Z266" s="311">
        <f t="shared" si="34"/>
        <v>1.35</v>
      </c>
      <c r="AA266" s="311">
        <f t="shared" si="34"/>
        <v>1.35</v>
      </c>
      <c r="AB266" s="311">
        <f t="shared" si="34"/>
        <v>1.35</v>
      </c>
      <c r="AC266" s="87"/>
      <c r="AD266" s="87"/>
      <c r="AE266" s="87"/>
      <c r="AF266" s="109">
        <v>1</v>
      </c>
      <c r="AG266" s="109">
        <v>1</v>
      </c>
      <c r="AH266" s="84"/>
      <c r="AI266" s="66"/>
      <c r="AJ266" s="54"/>
      <c r="AK266" s="54"/>
      <c r="AL266" s="54"/>
    </row>
    <row r="267" spans="1:38" outlineLevel="2" x14ac:dyDescent="0.25">
      <c r="A267" s="54"/>
      <c r="B267" s="63"/>
      <c r="C267" s="56">
        <f t="shared" si="31"/>
        <v>3</v>
      </c>
      <c r="D267" s="84"/>
      <c r="E267" s="79"/>
      <c r="F267" s="79" t="s">
        <v>998</v>
      </c>
      <c r="G267" s="84"/>
      <c r="H267" s="87" t="s">
        <v>999</v>
      </c>
      <c r="I267" s="108" t="s">
        <v>750</v>
      </c>
      <c r="J267" s="108"/>
      <c r="K267" s="109">
        <v>1.6E-2</v>
      </c>
      <c r="L267" s="109">
        <v>1.6E-2</v>
      </c>
      <c r="M267" s="87"/>
      <c r="N267" s="87"/>
      <c r="O267" s="87"/>
      <c r="P267" s="87"/>
      <c r="Q267" s="87"/>
      <c r="R267" s="87" t="s">
        <v>1000</v>
      </c>
      <c r="S267" s="87"/>
      <c r="T267" s="87"/>
      <c r="U267" s="318">
        <f>INDEX($K267:$Q267,1,U$54)/U$262</f>
        <v>2.6666666666666668E-2</v>
      </c>
      <c r="V267" s="318">
        <f t="shared" ref="V267:AB267" si="35">INDEX($K267:$Q267,1,V$54)/V$262</f>
        <v>2.6666666666666668E-2</v>
      </c>
      <c r="W267" s="318">
        <f t="shared" si="35"/>
        <v>2.6666666666666668E-2</v>
      </c>
      <c r="X267" s="318">
        <f t="shared" si="35"/>
        <v>2.6666666666666668E-2</v>
      </c>
      <c r="Y267" s="318">
        <f t="shared" si="35"/>
        <v>2.6666666666666668E-2</v>
      </c>
      <c r="Z267" s="318">
        <f t="shared" si="35"/>
        <v>2.6666666666666668E-2</v>
      </c>
      <c r="AA267" s="318">
        <f t="shared" si="35"/>
        <v>2.6666666666666668E-2</v>
      </c>
      <c r="AB267" s="318">
        <f t="shared" si="35"/>
        <v>2.6666666666666668E-2</v>
      </c>
      <c r="AC267" s="87"/>
      <c r="AD267" s="87"/>
      <c r="AE267" s="87"/>
      <c r="AF267" s="109">
        <v>1</v>
      </c>
      <c r="AG267" s="109">
        <v>1</v>
      </c>
      <c r="AH267" s="84"/>
      <c r="AI267" s="66"/>
      <c r="AJ267" s="54"/>
      <c r="AK267" s="54"/>
      <c r="AL267" s="54"/>
    </row>
    <row r="268" spans="1:38" outlineLevel="2" x14ac:dyDescent="0.25">
      <c r="A268" s="54"/>
      <c r="B268" s="63"/>
      <c r="C268" s="56">
        <f t="shared" si="31"/>
        <v>3</v>
      </c>
      <c r="D268" s="84"/>
      <c r="E268" s="79"/>
      <c r="F268" s="79" t="s">
        <v>1001</v>
      </c>
      <c r="G268" s="84"/>
      <c r="H268" s="87" t="s">
        <v>1002</v>
      </c>
      <c r="I268" s="108" t="s">
        <v>697</v>
      </c>
      <c r="J268" s="108"/>
      <c r="K268" s="109">
        <v>1</v>
      </c>
      <c r="L268" s="109">
        <v>1</v>
      </c>
      <c r="M268" s="87"/>
      <c r="N268" s="87"/>
      <c r="O268" s="87"/>
      <c r="P268" s="87"/>
      <c r="Q268" s="87"/>
      <c r="R268" s="87" t="s">
        <v>710</v>
      </c>
      <c r="S268" s="87"/>
      <c r="T268" s="87"/>
      <c r="U268" s="311">
        <f t="shared" si="34"/>
        <v>1</v>
      </c>
      <c r="V268" s="311">
        <f t="shared" si="34"/>
        <v>1</v>
      </c>
      <c r="W268" s="311">
        <f t="shared" si="34"/>
        <v>1</v>
      </c>
      <c r="X268" s="311">
        <f t="shared" si="34"/>
        <v>1</v>
      </c>
      <c r="Y268" s="311">
        <f t="shared" si="34"/>
        <v>1</v>
      </c>
      <c r="Z268" s="311">
        <f t="shared" si="34"/>
        <v>1</v>
      </c>
      <c r="AA268" s="311">
        <f t="shared" si="34"/>
        <v>1</v>
      </c>
      <c r="AB268" s="311">
        <f t="shared" si="34"/>
        <v>1</v>
      </c>
      <c r="AC268" s="87"/>
      <c r="AD268" s="87"/>
      <c r="AE268" s="87"/>
      <c r="AF268" s="109">
        <v>1</v>
      </c>
      <c r="AG268" s="109">
        <v>1</v>
      </c>
      <c r="AH268" s="84"/>
      <c r="AI268" s="66"/>
      <c r="AJ268" s="54"/>
      <c r="AK268" s="54"/>
      <c r="AL268" s="54"/>
    </row>
    <row r="269" spans="1:38" outlineLevel="2" x14ac:dyDescent="0.25">
      <c r="A269" s="54"/>
      <c r="B269" s="63"/>
      <c r="C269" s="56">
        <f t="shared" si="31"/>
        <v>3</v>
      </c>
      <c r="D269" s="84"/>
      <c r="E269" s="79"/>
      <c r="F269" s="79" t="s">
        <v>1003</v>
      </c>
      <c r="G269" s="84"/>
      <c r="H269" s="87" t="s">
        <v>1004</v>
      </c>
      <c r="I269" s="108" t="s">
        <v>1005</v>
      </c>
      <c r="J269" s="108"/>
      <c r="K269" s="109">
        <v>1350</v>
      </c>
      <c r="L269" s="109">
        <v>1350</v>
      </c>
      <c r="M269" s="87"/>
      <c r="N269" s="87"/>
      <c r="O269" s="87"/>
      <c r="P269" s="87"/>
      <c r="Q269" s="87"/>
      <c r="R269" s="87"/>
      <c r="S269" s="87"/>
      <c r="T269" s="87"/>
      <c r="U269" s="311">
        <f t="shared" si="34"/>
        <v>1350</v>
      </c>
      <c r="V269" s="311">
        <f t="shared" si="34"/>
        <v>1350</v>
      </c>
      <c r="W269" s="311">
        <f t="shared" si="34"/>
        <v>1350</v>
      </c>
      <c r="X269" s="311">
        <f t="shared" si="34"/>
        <v>1350</v>
      </c>
      <c r="Y269" s="311">
        <f t="shared" si="34"/>
        <v>1350</v>
      </c>
      <c r="Z269" s="311">
        <f t="shared" si="34"/>
        <v>1350</v>
      </c>
      <c r="AA269" s="311">
        <f t="shared" si="34"/>
        <v>1350</v>
      </c>
      <c r="AB269" s="311">
        <f t="shared" si="34"/>
        <v>1350</v>
      </c>
      <c r="AC269" s="87"/>
      <c r="AD269" s="87"/>
      <c r="AE269" s="87"/>
      <c r="AF269" s="109">
        <v>1</v>
      </c>
      <c r="AG269" s="109">
        <v>1</v>
      </c>
      <c r="AH269" s="84"/>
      <c r="AI269" s="66"/>
      <c r="AJ269" s="54"/>
      <c r="AK269" s="54"/>
      <c r="AL269" s="54"/>
    </row>
    <row r="270" spans="1:38" outlineLevel="2" x14ac:dyDescent="0.25">
      <c r="A270" s="54"/>
      <c r="B270" s="63"/>
      <c r="C270" s="56">
        <f t="shared" si="31"/>
        <v>3</v>
      </c>
      <c r="D270" s="84"/>
      <c r="E270" s="79"/>
      <c r="F270" s="79" t="s">
        <v>1006</v>
      </c>
      <c r="G270" s="84"/>
      <c r="H270" s="87" t="s">
        <v>1007</v>
      </c>
      <c r="I270" s="108" t="s">
        <v>1008</v>
      </c>
      <c r="J270" s="108"/>
      <c r="K270" s="87"/>
      <c r="L270" s="87"/>
      <c r="M270" s="87"/>
      <c r="N270" s="87"/>
      <c r="O270" s="87"/>
      <c r="P270" s="87"/>
      <c r="Q270" s="87"/>
      <c r="R270" s="87"/>
      <c r="S270" s="87"/>
      <c r="T270" s="87"/>
      <c r="U270" s="109">
        <v>60000000</v>
      </c>
      <c r="V270" s="109">
        <v>60000000</v>
      </c>
      <c r="W270" s="109">
        <v>60000000</v>
      </c>
      <c r="X270" s="109">
        <f t="shared" ref="X270:AB272" si="36">W270</f>
        <v>60000000</v>
      </c>
      <c r="Y270" s="313">
        <f t="shared" si="36"/>
        <v>60000000</v>
      </c>
      <c r="Z270" s="313">
        <f t="shared" si="36"/>
        <v>60000000</v>
      </c>
      <c r="AA270" s="313">
        <f t="shared" si="36"/>
        <v>60000000</v>
      </c>
      <c r="AB270" s="109">
        <f>U270*(51.8-2*(51.8-31.5))/51.8</f>
        <v>12972972.972972976</v>
      </c>
      <c r="AC270" s="87"/>
      <c r="AD270" s="109"/>
      <c r="AE270" s="87"/>
      <c r="AF270" s="109">
        <v>1</v>
      </c>
      <c r="AG270" s="109">
        <v>1</v>
      </c>
      <c r="AH270" s="84"/>
      <c r="AI270" s="66"/>
      <c r="AJ270" s="54"/>
      <c r="AK270" s="54"/>
      <c r="AL270" s="54"/>
    </row>
    <row r="271" spans="1:38" outlineLevel="2" x14ac:dyDescent="0.25">
      <c r="A271" s="54"/>
      <c r="B271" s="63"/>
      <c r="C271" s="56">
        <f t="shared" si="31"/>
        <v>3</v>
      </c>
      <c r="D271" s="84"/>
      <c r="E271" s="79"/>
      <c r="F271" s="79" t="s">
        <v>1009</v>
      </c>
      <c r="G271" s="84"/>
      <c r="H271" s="87" t="s">
        <v>1010</v>
      </c>
      <c r="I271" s="108" t="s">
        <v>623</v>
      </c>
      <c r="J271" s="108"/>
      <c r="K271" s="87"/>
      <c r="L271" s="87"/>
      <c r="M271" s="87"/>
      <c r="N271" s="87"/>
      <c r="O271" s="87"/>
      <c r="P271" s="87"/>
      <c r="Q271" s="87"/>
      <c r="R271" s="87"/>
      <c r="S271" s="87"/>
      <c r="T271" s="87"/>
      <c r="U271" s="109">
        <v>2.5000000000000001E-2</v>
      </c>
      <c r="V271" s="109">
        <v>2.5000000000000001E-3</v>
      </c>
      <c r="W271" s="109">
        <v>2.5000000000000001E-3</v>
      </c>
      <c r="X271" s="109">
        <f t="shared" si="36"/>
        <v>2.5000000000000001E-3</v>
      </c>
      <c r="Y271" s="313">
        <f t="shared" si="36"/>
        <v>2.5000000000000001E-3</v>
      </c>
      <c r="Z271" s="313">
        <f t="shared" si="36"/>
        <v>2.5000000000000001E-3</v>
      </c>
      <c r="AA271" s="313">
        <f t="shared" si="36"/>
        <v>2.5000000000000001E-3</v>
      </c>
      <c r="AB271" s="313">
        <f t="shared" si="36"/>
        <v>2.5000000000000001E-3</v>
      </c>
      <c r="AC271" s="87"/>
      <c r="AD271" s="109" t="s">
        <v>990</v>
      </c>
      <c r="AE271" s="87"/>
      <c r="AF271" s="109">
        <v>1</v>
      </c>
      <c r="AG271" s="109">
        <v>1</v>
      </c>
      <c r="AH271" s="84"/>
      <c r="AI271" s="66"/>
      <c r="AJ271" s="54"/>
      <c r="AK271" s="54"/>
      <c r="AL271" s="54"/>
    </row>
    <row r="272" spans="1:38" outlineLevel="2" x14ac:dyDescent="0.25">
      <c r="A272" s="54"/>
      <c r="B272" s="63"/>
      <c r="C272" s="56">
        <f t="shared" si="31"/>
        <v>3</v>
      </c>
      <c r="D272" s="84"/>
      <c r="E272" s="79"/>
      <c r="F272" s="79" t="s">
        <v>1011</v>
      </c>
      <c r="G272" s="84"/>
      <c r="H272" s="87" t="s">
        <v>1012</v>
      </c>
      <c r="I272" s="108" t="s">
        <v>623</v>
      </c>
      <c r="J272" s="108"/>
      <c r="K272" s="87"/>
      <c r="L272" s="87"/>
      <c r="M272" s="87"/>
      <c r="N272" s="87"/>
      <c r="O272" s="87"/>
      <c r="P272" s="87"/>
      <c r="Q272" s="87"/>
      <c r="R272" s="87"/>
      <c r="S272" s="87"/>
      <c r="T272" s="87"/>
      <c r="U272" s="109">
        <v>0.18</v>
      </c>
      <c r="V272" s="109">
        <v>0.18</v>
      </c>
      <c r="W272" s="109">
        <v>0.18</v>
      </c>
      <c r="X272" s="109">
        <f t="shared" si="36"/>
        <v>0.18</v>
      </c>
      <c r="Y272" s="313">
        <f t="shared" si="36"/>
        <v>0.18</v>
      </c>
      <c r="Z272" s="313">
        <f t="shared" si="36"/>
        <v>0.18</v>
      </c>
      <c r="AA272" s="313">
        <f t="shared" si="36"/>
        <v>0.18</v>
      </c>
      <c r="AB272" s="313">
        <f t="shared" si="36"/>
        <v>0.18</v>
      </c>
      <c r="AC272" s="87"/>
      <c r="AD272" s="109" t="s">
        <v>734</v>
      </c>
      <c r="AE272" s="87"/>
      <c r="AF272" s="109">
        <v>1</v>
      </c>
      <c r="AG272" s="109">
        <v>1</v>
      </c>
      <c r="AH272" s="84"/>
      <c r="AI272" s="66"/>
      <c r="AJ272" s="54"/>
      <c r="AK272" s="54"/>
      <c r="AL272" s="54"/>
    </row>
    <row r="273" spans="1:38" outlineLevel="2" x14ac:dyDescent="0.25">
      <c r="A273" s="54"/>
      <c r="B273" s="63"/>
      <c r="C273" s="56">
        <f>INT($C$40)+2</f>
        <v>3</v>
      </c>
      <c r="D273" s="84"/>
      <c r="E273" s="79"/>
      <c r="F273" s="79" t="s">
        <v>1013</v>
      </c>
      <c r="G273" s="84"/>
      <c r="H273" s="87" t="s">
        <v>1014</v>
      </c>
      <c r="I273" s="108" t="s">
        <v>1015</v>
      </c>
      <c r="J273" s="108"/>
      <c r="K273" s="109">
        <v>0.2</v>
      </c>
      <c r="L273" s="109">
        <v>0.2</v>
      </c>
      <c r="M273" s="87"/>
      <c r="N273" s="87"/>
      <c r="O273" s="87"/>
      <c r="P273" s="87"/>
      <c r="Q273" s="87"/>
      <c r="R273" s="87" t="s">
        <v>734</v>
      </c>
      <c r="S273" s="87"/>
      <c r="T273" s="87"/>
      <c r="U273" s="311">
        <f t="shared" ref="U273:AB275" si="37">INDEX($K273:$Q273,1,U$54)</f>
        <v>0.2</v>
      </c>
      <c r="V273" s="311">
        <f t="shared" si="37"/>
        <v>0.2</v>
      </c>
      <c r="W273" s="311">
        <f t="shared" si="37"/>
        <v>0.2</v>
      </c>
      <c r="X273" s="311">
        <f t="shared" si="37"/>
        <v>0.2</v>
      </c>
      <c r="Y273" s="311">
        <f t="shared" si="37"/>
        <v>0.2</v>
      </c>
      <c r="Z273" s="311">
        <f t="shared" si="37"/>
        <v>0.2</v>
      </c>
      <c r="AA273" s="311">
        <f t="shared" si="37"/>
        <v>0.2</v>
      </c>
      <c r="AB273" s="311">
        <f t="shared" si="37"/>
        <v>0.2</v>
      </c>
      <c r="AC273" s="87"/>
      <c r="AD273" s="87"/>
      <c r="AE273" s="87"/>
      <c r="AF273" s="109">
        <v>1</v>
      </c>
      <c r="AG273" s="109">
        <v>1</v>
      </c>
      <c r="AH273" s="84"/>
      <c r="AI273" s="66"/>
      <c r="AJ273" s="54"/>
      <c r="AK273" s="54"/>
      <c r="AL273" s="54"/>
    </row>
    <row r="274" spans="1:38" outlineLevel="2" x14ac:dyDescent="0.25">
      <c r="A274" s="54"/>
      <c r="B274" s="63"/>
      <c r="C274" s="56">
        <f>INT($C$40)+2</f>
        <v>3</v>
      </c>
      <c r="D274" s="84"/>
      <c r="E274" s="79"/>
      <c r="F274" s="79" t="s">
        <v>1016</v>
      </c>
      <c r="G274" s="84"/>
      <c r="H274" s="87" t="s">
        <v>1017</v>
      </c>
      <c r="I274" s="108" t="s">
        <v>1018</v>
      </c>
      <c r="J274" s="108"/>
      <c r="K274" s="109">
        <f>1/1.17</f>
        <v>0.85470085470085477</v>
      </c>
      <c r="L274" s="109">
        <f>1/1.17</f>
        <v>0.85470085470085477</v>
      </c>
      <c r="M274" s="87"/>
      <c r="N274" s="87"/>
      <c r="O274" s="87"/>
      <c r="P274" s="87"/>
      <c r="Q274" s="87"/>
      <c r="R274" s="87" t="s">
        <v>1019</v>
      </c>
      <c r="S274" s="87"/>
      <c r="T274" s="87"/>
      <c r="U274" s="311">
        <f t="shared" si="37"/>
        <v>0.85470085470085477</v>
      </c>
      <c r="V274" s="311">
        <f t="shared" si="37"/>
        <v>0.85470085470085477</v>
      </c>
      <c r="W274" s="311">
        <f t="shared" si="37"/>
        <v>0.85470085470085477</v>
      </c>
      <c r="X274" s="311">
        <f t="shared" si="37"/>
        <v>0.85470085470085477</v>
      </c>
      <c r="Y274" s="311">
        <f t="shared" si="37"/>
        <v>0.85470085470085477</v>
      </c>
      <c r="Z274" s="311">
        <f t="shared" si="37"/>
        <v>0.85470085470085477</v>
      </c>
      <c r="AA274" s="311">
        <f t="shared" si="37"/>
        <v>0.85470085470085477</v>
      </c>
      <c r="AB274" s="311">
        <f t="shared" si="37"/>
        <v>0.85470085470085477</v>
      </c>
      <c r="AC274" s="87"/>
      <c r="AD274" s="87"/>
      <c r="AE274" s="87"/>
      <c r="AF274" s="109">
        <v>1</v>
      </c>
      <c r="AG274" s="109">
        <v>1</v>
      </c>
      <c r="AH274" s="84"/>
      <c r="AI274" s="66"/>
      <c r="AJ274" s="54"/>
      <c r="AK274" s="54"/>
      <c r="AL274" s="54"/>
    </row>
    <row r="275" spans="1:38" outlineLevel="2" x14ac:dyDescent="0.25">
      <c r="A275" s="54"/>
      <c r="B275" s="63"/>
      <c r="C275" s="56">
        <f>INT($C$40)+2</f>
        <v>3</v>
      </c>
      <c r="D275" s="84"/>
      <c r="E275" s="79"/>
      <c r="F275" s="79" t="s">
        <v>1020</v>
      </c>
      <c r="G275" s="84"/>
      <c r="H275" s="87" t="s">
        <v>1021</v>
      </c>
      <c r="I275" s="108" t="s">
        <v>1022</v>
      </c>
      <c r="J275" s="108"/>
      <c r="K275" s="109">
        <v>51</v>
      </c>
      <c r="L275" s="109">
        <v>51</v>
      </c>
      <c r="M275" s="87"/>
      <c r="N275" s="87"/>
      <c r="O275" s="87"/>
      <c r="P275" s="87"/>
      <c r="Q275" s="87"/>
      <c r="R275" s="87" t="s">
        <v>1023</v>
      </c>
      <c r="S275" s="87"/>
      <c r="T275" s="87"/>
      <c r="U275" s="311">
        <f t="shared" si="37"/>
        <v>51</v>
      </c>
      <c r="V275" s="311">
        <f t="shared" si="37"/>
        <v>51</v>
      </c>
      <c r="W275" s="311">
        <f t="shared" si="37"/>
        <v>51</v>
      </c>
      <c r="X275" s="311">
        <f t="shared" si="37"/>
        <v>51</v>
      </c>
      <c r="Y275" s="311">
        <f t="shared" si="37"/>
        <v>51</v>
      </c>
      <c r="Z275" s="311">
        <f t="shared" si="37"/>
        <v>51</v>
      </c>
      <c r="AA275" s="311">
        <f t="shared" si="37"/>
        <v>51</v>
      </c>
      <c r="AB275" s="311">
        <f t="shared" si="37"/>
        <v>51</v>
      </c>
      <c r="AC275" s="87"/>
      <c r="AD275" s="87"/>
      <c r="AE275" s="87"/>
      <c r="AF275" s="109">
        <v>1</v>
      </c>
      <c r="AG275" s="109">
        <v>1</v>
      </c>
      <c r="AH275" s="84"/>
      <c r="AI275" s="66"/>
      <c r="AJ275" s="54"/>
      <c r="AK275" s="54"/>
      <c r="AL275" s="54"/>
    </row>
    <row r="276" spans="1:38" outlineLevel="1" x14ac:dyDescent="0.25">
      <c r="A276" s="54"/>
      <c r="B276" s="63"/>
      <c r="C276" s="56">
        <f>INT($C$40)+1</f>
        <v>2</v>
      </c>
      <c r="D276" s="84"/>
      <c r="E276" s="79"/>
      <c r="F276" s="314" t="s">
        <v>1024</v>
      </c>
      <c r="G276" s="84"/>
      <c r="H276" s="304" t="s">
        <v>1025</v>
      </c>
      <c r="I276" s="108"/>
      <c r="J276" s="108" t="s">
        <v>642</v>
      </c>
      <c r="K276" s="87"/>
      <c r="L276" s="87"/>
      <c r="M276" s="87"/>
      <c r="N276" s="87"/>
      <c r="O276" s="87"/>
      <c r="P276" s="87"/>
      <c r="Q276" s="87"/>
      <c r="R276" s="87"/>
      <c r="S276" s="87"/>
      <c r="T276" s="87"/>
      <c r="U276" s="91">
        <v>17</v>
      </c>
      <c r="V276" s="87"/>
      <c r="W276" s="91">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1026</v>
      </c>
      <c r="F277" s="79" t="s">
        <v>1027</v>
      </c>
      <c r="G277" s="84"/>
      <c r="H277" s="87" t="s">
        <v>616</v>
      </c>
      <c r="I277" s="108"/>
      <c r="J277" s="108"/>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25">
      <c r="A278" s="54"/>
      <c r="B278" s="63"/>
      <c r="C278" s="56">
        <f t="shared" ref="C278:C293" si="38">INT($C$40)+2</f>
        <v>3</v>
      </c>
      <c r="D278" s="84"/>
      <c r="E278" s="79"/>
      <c r="F278" s="79" t="s">
        <v>1028</v>
      </c>
      <c r="G278" s="84"/>
      <c r="H278" s="87" t="s">
        <v>1029</v>
      </c>
      <c r="I278" s="108" t="s">
        <v>1030</v>
      </c>
      <c r="J278" s="108"/>
      <c r="K278" s="109">
        <v>0.09</v>
      </c>
      <c r="L278" s="109">
        <v>0.09</v>
      </c>
      <c r="M278" s="109">
        <v>0.09</v>
      </c>
      <c r="N278" s="109">
        <v>0.09</v>
      </c>
      <c r="O278" s="109">
        <v>0.09</v>
      </c>
      <c r="P278" s="109">
        <v>0.09</v>
      </c>
      <c r="Q278" s="87"/>
      <c r="R278" s="87"/>
      <c r="S278" s="87"/>
      <c r="T278" s="87"/>
      <c r="U278" s="311">
        <f t="shared" ref="U278:AB293" si="39">INDEX($K278:$Q278,1,U$54)</f>
        <v>0.09</v>
      </c>
      <c r="V278" s="311">
        <f t="shared" si="39"/>
        <v>0.09</v>
      </c>
      <c r="W278" s="311">
        <f t="shared" si="39"/>
        <v>0.09</v>
      </c>
      <c r="X278" s="311">
        <f t="shared" si="39"/>
        <v>0.09</v>
      </c>
      <c r="Y278" s="311">
        <f t="shared" si="39"/>
        <v>0.09</v>
      </c>
      <c r="Z278" s="311">
        <f t="shared" si="39"/>
        <v>0.09</v>
      </c>
      <c r="AA278" s="311">
        <f t="shared" si="39"/>
        <v>0.09</v>
      </c>
      <c r="AB278" s="311">
        <f t="shared" si="39"/>
        <v>0.09</v>
      </c>
      <c r="AC278" s="87"/>
      <c r="AD278" s="87"/>
      <c r="AE278" s="87"/>
      <c r="AF278" s="109">
        <v>1</v>
      </c>
      <c r="AG278" s="109">
        <v>1</v>
      </c>
      <c r="AH278" s="84"/>
      <c r="AI278" s="66"/>
      <c r="AJ278" s="54"/>
      <c r="AK278" s="54"/>
      <c r="AL278" s="54"/>
    </row>
    <row r="279" spans="1:38" outlineLevel="2" x14ac:dyDescent="0.25">
      <c r="A279" s="54"/>
      <c r="B279" s="63"/>
      <c r="C279" s="56">
        <f t="shared" si="38"/>
        <v>3</v>
      </c>
      <c r="D279" s="84"/>
      <c r="E279" s="79"/>
      <c r="F279" s="79" t="s">
        <v>1031</v>
      </c>
      <c r="G279" s="84"/>
      <c r="H279" s="87" t="s">
        <v>1032</v>
      </c>
      <c r="I279" s="108" t="s">
        <v>1033</v>
      </c>
      <c r="J279" s="108"/>
      <c r="K279" s="109">
        <v>4.0999999999999996</v>
      </c>
      <c r="L279" s="109">
        <v>4.0999999999999996</v>
      </c>
      <c r="M279" s="109">
        <v>4.0999999999999996</v>
      </c>
      <c r="N279" s="109">
        <v>4.0999999999999996</v>
      </c>
      <c r="O279" s="109">
        <v>4.0999999999999996</v>
      </c>
      <c r="P279" s="109">
        <v>4.0999999999999996</v>
      </c>
      <c r="Q279" s="87"/>
      <c r="R279" s="87"/>
      <c r="S279" s="87"/>
      <c r="T279" s="87"/>
      <c r="U279" s="311">
        <f t="shared" si="39"/>
        <v>4.0999999999999996</v>
      </c>
      <c r="V279" s="311">
        <f t="shared" si="39"/>
        <v>4.0999999999999996</v>
      </c>
      <c r="W279" s="311">
        <f t="shared" si="39"/>
        <v>4.0999999999999996</v>
      </c>
      <c r="X279" s="311">
        <f t="shared" si="39"/>
        <v>4.0999999999999996</v>
      </c>
      <c r="Y279" s="311">
        <f t="shared" si="39"/>
        <v>4.0999999999999996</v>
      </c>
      <c r="Z279" s="311">
        <f t="shared" si="39"/>
        <v>4.0999999999999996</v>
      </c>
      <c r="AA279" s="311">
        <f t="shared" si="39"/>
        <v>4.0999999999999996</v>
      </c>
      <c r="AB279" s="311">
        <f t="shared" si="39"/>
        <v>4.0999999999999996</v>
      </c>
      <c r="AC279" s="87"/>
      <c r="AD279" s="87"/>
      <c r="AE279" s="87"/>
      <c r="AF279" s="109">
        <v>1</v>
      </c>
      <c r="AG279" s="109">
        <v>1</v>
      </c>
      <c r="AH279" s="84"/>
      <c r="AI279" s="66"/>
      <c r="AJ279" s="54"/>
      <c r="AK279" s="54"/>
      <c r="AL279" s="54"/>
    </row>
    <row r="280" spans="1:38" outlineLevel="2" x14ac:dyDescent="0.25">
      <c r="A280" s="54"/>
      <c r="B280" s="63"/>
      <c r="C280" s="56">
        <f t="shared" si="38"/>
        <v>3</v>
      </c>
      <c r="D280" s="84"/>
      <c r="E280" s="79"/>
      <c r="F280" s="79" t="s">
        <v>1034</v>
      </c>
      <c r="G280" s="84"/>
      <c r="H280" s="87" t="s">
        <v>1035</v>
      </c>
      <c r="I280" s="108" t="s">
        <v>1036</v>
      </c>
      <c r="J280" s="108"/>
      <c r="K280" s="109">
        <v>1.3</v>
      </c>
      <c r="L280" s="109">
        <v>1.3</v>
      </c>
      <c r="M280" s="109">
        <v>1.6</v>
      </c>
      <c r="N280" s="109">
        <v>1.6</v>
      </c>
      <c r="O280" s="109">
        <v>1.6</v>
      </c>
      <c r="P280" s="109">
        <v>1.6</v>
      </c>
      <c r="Q280" s="87"/>
      <c r="R280" s="87" t="s">
        <v>634</v>
      </c>
      <c r="S280" s="87" t="s">
        <v>634</v>
      </c>
      <c r="T280" s="87"/>
      <c r="U280" s="311">
        <f t="shared" si="39"/>
        <v>1.3</v>
      </c>
      <c r="V280" s="311">
        <f t="shared" si="39"/>
        <v>1.3</v>
      </c>
      <c r="W280" s="311">
        <f t="shared" si="39"/>
        <v>1.3</v>
      </c>
      <c r="X280" s="311">
        <f t="shared" si="39"/>
        <v>1.3</v>
      </c>
      <c r="Y280" s="311">
        <f t="shared" si="39"/>
        <v>1.3</v>
      </c>
      <c r="Z280" s="311">
        <f t="shared" si="39"/>
        <v>1.3</v>
      </c>
      <c r="AA280" s="311">
        <f t="shared" si="39"/>
        <v>1.3</v>
      </c>
      <c r="AB280" s="311">
        <f t="shared" si="39"/>
        <v>1.3</v>
      </c>
      <c r="AC280" s="87"/>
      <c r="AD280" s="87"/>
      <c r="AE280" s="87"/>
      <c r="AF280" s="109">
        <v>1</v>
      </c>
      <c r="AG280" s="109">
        <v>1</v>
      </c>
      <c r="AH280" s="84"/>
      <c r="AI280" s="66"/>
      <c r="AJ280" s="54"/>
      <c r="AK280" s="54"/>
      <c r="AL280" s="54"/>
    </row>
    <row r="281" spans="1:38" outlineLevel="2" x14ac:dyDescent="0.25">
      <c r="A281" s="54"/>
      <c r="B281" s="63"/>
      <c r="C281" s="56">
        <f t="shared" si="38"/>
        <v>3</v>
      </c>
      <c r="D281" s="84"/>
      <c r="E281" s="79"/>
      <c r="F281" s="79" t="s">
        <v>1037</v>
      </c>
      <c r="G281" s="84"/>
      <c r="H281" s="87" t="s">
        <v>1038</v>
      </c>
      <c r="I281" s="108" t="s">
        <v>623</v>
      </c>
      <c r="J281" s="108"/>
      <c r="K281" s="109">
        <v>0.5</v>
      </c>
      <c r="L281" s="109">
        <v>0.5</v>
      </c>
      <c r="M281" s="109">
        <v>0.5</v>
      </c>
      <c r="N281" s="109">
        <v>0.5</v>
      </c>
      <c r="O281" s="109">
        <v>0.5</v>
      </c>
      <c r="P281" s="109">
        <v>0.5</v>
      </c>
      <c r="Q281" s="87"/>
      <c r="R281" s="87" t="s">
        <v>634</v>
      </c>
      <c r="S281" s="87" t="s">
        <v>634</v>
      </c>
      <c r="T281" s="87"/>
      <c r="U281" s="311">
        <f t="shared" si="39"/>
        <v>0.5</v>
      </c>
      <c r="V281" s="311">
        <f t="shared" si="39"/>
        <v>0.5</v>
      </c>
      <c r="W281" s="311">
        <f t="shared" si="39"/>
        <v>0.5</v>
      </c>
      <c r="X281" s="311">
        <f t="shared" si="39"/>
        <v>0.5</v>
      </c>
      <c r="Y281" s="311">
        <f t="shared" si="39"/>
        <v>0.5</v>
      </c>
      <c r="Z281" s="311">
        <f t="shared" si="39"/>
        <v>0.5</v>
      </c>
      <c r="AA281" s="311">
        <f t="shared" si="39"/>
        <v>0.5</v>
      </c>
      <c r="AB281" s="311">
        <f t="shared" si="39"/>
        <v>0.5</v>
      </c>
      <c r="AC281" s="87"/>
      <c r="AD281" s="87"/>
      <c r="AE281" s="87"/>
      <c r="AF281" s="109">
        <v>1</v>
      </c>
      <c r="AG281" s="109">
        <v>1</v>
      </c>
      <c r="AH281" s="84"/>
      <c r="AI281" s="66"/>
      <c r="AJ281" s="54"/>
      <c r="AK281" s="54"/>
      <c r="AL281" s="54"/>
    </row>
    <row r="282" spans="1:38" outlineLevel="2" x14ac:dyDescent="0.25">
      <c r="A282" s="54"/>
      <c r="B282" s="63"/>
      <c r="C282" s="56">
        <f t="shared" si="38"/>
        <v>3</v>
      </c>
      <c r="D282" s="84"/>
      <c r="E282" s="79"/>
      <c r="F282" s="79" t="s">
        <v>1039</v>
      </c>
      <c r="G282" s="84"/>
      <c r="H282" s="87" t="s">
        <v>1040</v>
      </c>
      <c r="I282" s="108" t="s">
        <v>697</v>
      </c>
      <c r="J282" s="108"/>
      <c r="K282" s="109">
        <v>0.7</v>
      </c>
      <c r="L282" s="109">
        <v>0.7</v>
      </c>
      <c r="M282" s="109">
        <v>0.7</v>
      </c>
      <c r="N282" s="109">
        <v>0.7</v>
      </c>
      <c r="O282" s="109">
        <v>0.7</v>
      </c>
      <c r="P282" s="109">
        <v>0.7</v>
      </c>
      <c r="Q282" s="87"/>
      <c r="R282" s="87" t="s">
        <v>634</v>
      </c>
      <c r="S282" s="87" t="s">
        <v>634</v>
      </c>
      <c r="T282" s="87"/>
      <c r="U282" s="311">
        <f t="shared" si="39"/>
        <v>0.7</v>
      </c>
      <c r="V282" s="311">
        <f t="shared" si="39"/>
        <v>0.7</v>
      </c>
      <c r="W282" s="311">
        <f t="shared" si="39"/>
        <v>0.7</v>
      </c>
      <c r="X282" s="311">
        <f t="shared" si="39"/>
        <v>0.7</v>
      </c>
      <c r="Y282" s="311">
        <f t="shared" si="39"/>
        <v>0.7</v>
      </c>
      <c r="Z282" s="311">
        <f t="shared" si="39"/>
        <v>0.7</v>
      </c>
      <c r="AA282" s="311">
        <f t="shared" si="39"/>
        <v>0.7</v>
      </c>
      <c r="AB282" s="311">
        <f t="shared" si="39"/>
        <v>0.7</v>
      </c>
      <c r="AC282" s="87"/>
      <c r="AD282" s="87"/>
      <c r="AE282" s="87"/>
      <c r="AF282" s="109">
        <v>1</v>
      </c>
      <c r="AG282" s="109">
        <v>1</v>
      </c>
      <c r="AH282" s="84"/>
      <c r="AI282" s="66"/>
      <c r="AJ282" s="54"/>
      <c r="AK282" s="54"/>
      <c r="AL282" s="54"/>
    </row>
    <row r="283" spans="1:38" outlineLevel="2" x14ac:dyDescent="0.25">
      <c r="A283" s="54"/>
      <c r="B283" s="63"/>
      <c r="C283" s="56">
        <f t="shared" si="38"/>
        <v>3</v>
      </c>
      <c r="D283" s="84"/>
      <c r="E283" s="79"/>
      <c r="F283" s="79" t="s">
        <v>1041</v>
      </c>
      <c r="G283" s="84"/>
      <c r="H283" s="87" t="s">
        <v>1042</v>
      </c>
      <c r="I283" s="108" t="s">
        <v>1043</v>
      </c>
      <c r="J283" s="108"/>
      <c r="K283" s="109">
        <v>0.15</v>
      </c>
      <c r="L283" s="109">
        <v>0.15</v>
      </c>
      <c r="M283" s="109">
        <v>0.15</v>
      </c>
      <c r="N283" s="109">
        <v>0.15</v>
      </c>
      <c r="O283" s="109">
        <v>0.15</v>
      </c>
      <c r="P283" s="109">
        <v>0.15</v>
      </c>
      <c r="Q283" s="87"/>
      <c r="R283" s="87" t="s">
        <v>634</v>
      </c>
      <c r="S283" s="87" t="s">
        <v>634</v>
      </c>
      <c r="T283" s="87"/>
      <c r="U283" s="311">
        <f t="shared" si="39"/>
        <v>0.15</v>
      </c>
      <c r="V283" s="311">
        <f t="shared" si="39"/>
        <v>0.15</v>
      </c>
      <c r="W283" s="311">
        <f t="shared" si="39"/>
        <v>0.15</v>
      </c>
      <c r="X283" s="311">
        <f t="shared" si="39"/>
        <v>0.15</v>
      </c>
      <c r="Y283" s="311">
        <f t="shared" si="39"/>
        <v>0.15</v>
      </c>
      <c r="Z283" s="311">
        <f t="shared" si="39"/>
        <v>0.15</v>
      </c>
      <c r="AA283" s="311">
        <f t="shared" si="39"/>
        <v>0.15</v>
      </c>
      <c r="AB283" s="311">
        <f t="shared" si="39"/>
        <v>0.15</v>
      </c>
      <c r="AC283" s="87"/>
      <c r="AD283" s="87"/>
      <c r="AE283" s="87"/>
      <c r="AF283" s="109">
        <v>1</v>
      </c>
      <c r="AG283" s="109">
        <v>1</v>
      </c>
      <c r="AH283" s="84"/>
      <c r="AI283" s="66"/>
      <c r="AJ283" s="54"/>
      <c r="AK283" s="54"/>
      <c r="AL283" s="54"/>
    </row>
    <row r="284" spans="1:38" outlineLevel="2" x14ac:dyDescent="0.25">
      <c r="A284" s="54"/>
      <c r="B284" s="63"/>
      <c r="C284" s="56">
        <f t="shared" si="38"/>
        <v>3</v>
      </c>
      <c r="D284" s="84"/>
      <c r="E284" s="79"/>
      <c r="F284" s="79" t="s">
        <v>1044</v>
      </c>
      <c r="G284" s="84"/>
      <c r="H284" s="87" t="s">
        <v>1045</v>
      </c>
      <c r="I284" s="108" t="s">
        <v>623</v>
      </c>
      <c r="J284" s="108"/>
      <c r="K284" s="109">
        <v>0.48099999999999998</v>
      </c>
      <c r="L284" s="109">
        <v>0.48099999999999998</v>
      </c>
      <c r="M284" s="109">
        <v>0.48099999999999998</v>
      </c>
      <c r="N284" s="109">
        <v>0.48099999999999998</v>
      </c>
      <c r="O284" s="109">
        <v>0.48099999999999998</v>
      </c>
      <c r="P284" s="109">
        <v>0.48099999999999998</v>
      </c>
      <c r="Q284" s="87"/>
      <c r="R284" s="87" t="s">
        <v>634</v>
      </c>
      <c r="S284" s="87" t="s">
        <v>634</v>
      </c>
      <c r="T284" s="87"/>
      <c r="U284" s="311">
        <f t="shared" si="39"/>
        <v>0.48099999999999998</v>
      </c>
      <c r="V284" s="311">
        <f t="shared" si="39"/>
        <v>0.48099999999999998</v>
      </c>
      <c r="W284" s="311">
        <f t="shared" si="39"/>
        <v>0.48099999999999998</v>
      </c>
      <c r="X284" s="311">
        <f t="shared" si="39"/>
        <v>0.48099999999999998</v>
      </c>
      <c r="Y284" s="311">
        <f t="shared" si="39"/>
        <v>0.48099999999999998</v>
      </c>
      <c r="Z284" s="311">
        <f t="shared" si="39"/>
        <v>0.48099999999999998</v>
      </c>
      <c r="AA284" s="311">
        <f t="shared" si="39"/>
        <v>0.48099999999999998</v>
      </c>
      <c r="AB284" s="311">
        <f t="shared" si="39"/>
        <v>0.48099999999999998</v>
      </c>
      <c r="AC284" s="87"/>
      <c r="AD284" s="87"/>
      <c r="AE284" s="87"/>
      <c r="AF284" s="109">
        <v>1</v>
      </c>
      <c r="AG284" s="109">
        <v>1</v>
      </c>
      <c r="AH284" s="84"/>
      <c r="AI284" s="66"/>
      <c r="AJ284" s="54"/>
      <c r="AK284" s="54"/>
      <c r="AL284" s="54"/>
    </row>
    <row r="285" spans="1:38" outlineLevel="2" x14ac:dyDescent="0.25">
      <c r="A285" s="54"/>
      <c r="B285" s="63"/>
      <c r="C285" s="56">
        <f t="shared" si="38"/>
        <v>3</v>
      </c>
      <c r="D285" s="84"/>
      <c r="E285" s="79"/>
      <c r="F285" s="79" t="s">
        <v>1046</v>
      </c>
      <c r="G285" s="84"/>
      <c r="H285" s="87" t="s">
        <v>1042</v>
      </c>
      <c r="I285" s="108" t="s">
        <v>623</v>
      </c>
      <c r="J285" s="108"/>
      <c r="K285" s="109">
        <v>0.61899999999999999</v>
      </c>
      <c r="L285" s="109">
        <v>0.61899999999999999</v>
      </c>
      <c r="M285" s="109">
        <v>0.61899999999999999</v>
      </c>
      <c r="N285" s="109">
        <v>0.61899999999999999</v>
      </c>
      <c r="O285" s="109">
        <v>0.61899999999999999</v>
      </c>
      <c r="P285" s="109">
        <v>0.61899999999999999</v>
      </c>
      <c r="Q285" s="87"/>
      <c r="R285" s="87" t="s">
        <v>634</v>
      </c>
      <c r="S285" s="87" t="s">
        <v>634</v>
      </c>
      <c r="T285" s="87"/>
      <c r="U285" s="311">
        <f t="shared" si="39"/>
        <v>0.61899999999999999</v>
      </c>
      <c r="V285" s="311">
        <f t="shared" si="39"/>
        <v>0.61899999999999999</v>
      </c>
      <c r="W285" s="311">
        <f t="shared" si="39"/>
        <v>0.61899999999999999</v>
      </c>
      <c r="X285" s="311">
        <f t="shared" si="39"/>
        <v>0.61899999999999999</v>
      </c>
      <c r="Y285" s="311">
        <f t="shared" si="39"/>
        <v>0.61899999999999999</v>
      </c>
      <c r="Z285" s="311">
        <f t="shared" si="39"/>
        <v>0.61899999999999999</v>
      </c>
      <c r="AA285" s="311">
        <f t="shared" si="39"/>
        <v>0.61899999999999999</v>
      </c>
      <c r="AB285" s="311">
        <f t="shared" si="39"/>
        <v>0.61899999999999999</v>
      </c>
      <c r="AC285" s="87"/>
      <c r="AD285" s="87"/>
      <c r="AE285" s="87"/>
      <c r="AF285" s="109">
        <v>1</v>
      </c>
      <c r="AG285" s="109">
        <v>1</v>
      </c>
      <c r="AH285" s="84"/>
      <c r="AI285" s="66"/>
      <c r="AJ285" s="54"/>
      <c r="AK285" s="54"/>
      <c r="AL285" s="54"/>
    </row>
    <row r="286" spans="1:38" outlineLevel="2" x14ac:dyDescent="0.25">
      <c r="A286" s="54"/>
      <c r="B286" s="63"/>
      <c r="C286" s="56">
        <f t="shared" si="38"/>
        <v>3</v>
      </c>
      <c r="D286" s="84"/>
      <c r="E286" s="79"/>
      <c r="F286" s="79" t="s">
        <v>1047</v>
      </c>
      <c r="G286" s="84"/>
      <c r="H286" s="87" t="s">
        <v>1048</v>
      </c>
      <c r="I286" s="108" t="s">
        <v>1036</v>
      </c>
      <c r="J286" s="108"/>
      <c r="K286" s="109">
        <v>1.41</v>
      </c>
      <c r="L286" s="109">
        <v>1.41</v>
      </c>
      <c r="M286" s="109">
        <v>1.1000000000000001</v>
      </c>
      <c r="N286" s="109">
        <v>1.1000000000000001</v>
      </c>
      <c r="O286" s="109">
        <v>1.1000000000000001</v>
      </c>
      <c r="P286" s="109">
        <v>1.1000000000000001</v>
      </c>
      <c r="Q286" s="87"/>
      <c r="R286" s="87" t="s">
        <v>634</v>
      </c>
      <c r="S286" s="87" t="s">
        <v>634</v>
      </c>
      <c r="T286" s="87"/>
      <c r="U286" s="311">
        <f t="shared" si="39"/>
        <v>1.41</v>
      </c>
      <c r="V286" s="311">
        <f t="shared" si="39"/>
        <v>1.41</v>
      </c>
      <c r="W286" s="311">
        <f t="shared" si="39"/>
        <v>1.41</v>
      </c>
      <c r="X286" s="311">
        <f t="shared" si="39"/>
        <v>1.41</v>
      </c>
      <c r="Y286" s="311">
        <f t="shared" si="39"/>
        <v>1.41</v>
      </c>
      <c r="Z286" s="311">
        <f t="shared" si="39"/>
        <v>1.41</v>
      </c>
      <c r="AA286" s="311">
        <f t="shared" si="39"/>
        <v>1.41</v>
      </c>
      <c r="AB286" s="311">
        <f t="shared" si="39"/>
        <v>1.41</v>
      </c>
      <c r="AC286" s="87"/>
      <c r="AD286" s="87"/>
      <c r="AE286" s="87"/>
      <c r="AF286" s="109">
        <v>1</v>
      </c>
      <c r="AG286" s="109">
        <v>1</v>
      </c>
      <c r="AH286" s="84"/>
      <c r="AI286" s="66"/>
      <c r="AJ286" s="54"/>
      <c r="AK286" s="54"/>
      <c r="AL286" s="54"/>
    </row>
    <row r="287" spans="1:38" outlineLevel="2" x14ac:dyDescent="0.25">
      <c r="A287" s="54"/>
      <c r="B287" s="63"/>
      <c r="C287" s="56">
        <f t="shared" si="38"/>
        <v>3</v>
      </c>
      <c r="D287" s="84"/>
      <c r="E287" s="79"/>
      <c r="F287" s="79" t="s">
        <v>1049</v>
      </c>
      <c r="G287" s="84"/>
      <c r="H287" s="87" t="s">
        <v>1042</v>
      </c>
      <c r="I287" s="108" t="s">
        <v>623</v>
      </c>
      <c r="J287" s="108"/>
      <c r="K287" s="109">
        <v>0.32200000000000001</v>
      </c>
      <c r="L287" s="109">
        <v>0.32200000000000001</v>
      </c>
      <c r="M287" s="109">
        <v>0.32200000000000001</v>
      </c>
      <c r="N287" s="109">
        <v>0.32200000000000001</v>
      </c>
      <c r="O287" s="109">
        <v>0.32200000000000001</v>
      </c>
      <c r="P287" s="109">
        <v>0.32200000000000001</v>
      </c>
      <c r="Q287" s="87"/>
      <c r="R287" s="87" t="s">
        <v>1050</v>
      </c>
      <c r="S287" s="87" t="s">
        <v>634</v>
      </c>
      <c r="T287" s="87"/>
      <c r="U287" s="311">
        <f t="shared" si="39"/>
        <v>0.32200000000000001</v>
      </c>
      <c r="V287" s="311">
        <f t="shared" si="39"/>
        <v>0.32200000000000001</v>
      </c>
      <c r="W287" s="311">
        <f t="shared" si="39"/>
        <v>0.32200000000000001</v>
      </c>
      <c r="X287" s="311">
        <f t="shared" si="39"/>
        <v>0.32200000000000001</v>
      </c>
      <c r="Y287" s="311">
        <f t="shared" si="39"/>
        <v>0.32200000000000001</v>
      </c>
      <c r="Z287" s="311">
        <f t="shared" si="39"/>
        <v>0.32200000000000001</v>
      </c>
      <c r="AA287" s="311">
        <f t="shared" si="39"/>
        <v>0.32200000000000001</v>
      </c>
      <c r="AB287" s="311">
        <f t="shared" si="39"/>
        <v>0.32200000000000001</v>
      </c>
      <c r="AC287" s="87"/>
      <c r="AD287" s="87"/>
      <c r="AE287" s="87"/>
      <c r="AF287" s="109">
        <v>1</v>
      </c>
      <c r="AG287" s="109">
        <v>1</v>
      </c>
      <c r="AH287" s="84"/>
      <c r="AI287" s="66"/>
      <c r="AJ287" s="54"/>
      <c r="AK287" s="54"/>
      <c r="AL287" s="54"/>
    </row>
    <row r="288" spans="1:38" outlineLevel="2" x14ac:dyDescent="0.25">
      <c r="A288" s="54"/>
      <c r="B288" s="63"/>
      <c r="C288" s="56">
        <f t="shared" si="38"/>
        <v>3</v>
      </c>
      <c r="D288" s="84"/>
      <c r="E288" s="79"/>
      <c r="F288" s="79" t="s">
        <v>1051</v>
      </c>
      <c r="G288" s="84"/>
      <c r="H288" s="87" t="s">
        <v>1052</v>
      </c>
      <c r="I288" s="108" t="s">
        <v>660</v>
      </c>
      <c r="J288" s="108"/>
      <c r="K288" s="109">
        <v>39</v>
      </c>
      <c r="L288" s="109">
        <v>39</v>
      </c>
      <c r="M288" s="109">
        <v>39</v>
      </c>
      <c r="N288" s="109">
        <v>39</v>
      </c>
      <c r="O288" s="109">
        <v>39</v>
      </c>
      <c r="P288" s="109">
        <v>39</v>
      </c>
      <c r="Q288" s="87"/>
      <c r="R288" s="87" t="s">
        <v>634</v>
      </c>
      <c r="S288" s="87" t="s">
        <v>634</v>
      </c>
      <c r="T288" s="87"/>
      <c r="U288" s="311">
        <f t="shared" si="39"/>
        <v>39</v>
      </c>
      <c r="V288" s="311">
        <f t="shared" si="39"/>
        <v>39</v>
      </c>
      <c r="W288" s="311">
        <f t="shared" si="39"/>
        <v>39</v>
      </c>
      <c r="X288" s="311">
        <f t="shared" si="39"/>
        <v>39</v>
      </c>
      <c r="Y288" s="311">
        <f t="shared" si="39"/>
        <v>39</v>
      </c>
      <c r="Z288" s="311">
        <f t="shared" si="39"/>
        <v>39</v>
      </c>
      <c r="AA288" s="311">
        <f t="shared" si="39"/>
        <v>39</v>
      </c>
      <c r="AB288" s="311">
        <f t="shared" si="39"/>
        <v>39</v>
      </c>
      <c r="AC288" s="87"/>
      <c r="AD288" s="87"/>
      <c r="AE288" s="87"/>
      <c r="AF288" s="109">
        <v>1</v>
      </c>
      <c r="AG288" s="109">
        <v>1</v>
      </c>
      <c r="AH288" s="84"/>
      <c r="AI288" s="66"/>
      <c r="AJ288" s="54"/>
      <c r="AK288" s="54"/>
      <c r="AL288" s="54"/>
    </row>
    <row r="289" spans="1:38" outlineLevel="2" x14ac:dyDescent="0.25">
      <c r="A289" s="54"/>
      <c r="B289" s="63"/>
      <c r="C289" s="56">
        <f t="shared" si="38"/>
        <v>3</v>
      </c>
      <c r="D289" s="84"/>
      <c r="E289" s="79"/>
      <c r="F289" s="79" t="s">
        <v>1053</v>
      </c>
      <c r="G289" s="84"/>
      <c r="H289" s="87" t="s">
        <v>1054</v>
      </c>
      <c r="I289" s="108" t="s">
        <v>1055</v>
      </c>
      <c r="J289" s="108"/>
      <c r="K289" s="109">
        <v>1.3</v>
      </c>
      <c r="L289" s="109">
        <v>1.3</v>
      </c>
      <c r="M289" s="109">
        <v>1.5</v>
      </c>
      <c r="N289" s="109">
        <v>1.5</v>
      </c>
      <c r="O289" s="109">
        <v>1.5</v>
      </c>
      <c r="P289" s="109">
        <v>1.5</v>
      </c>
      <c r="Q289" s="87"/>
      <c r="R289" s="87" t="s">
        <v>634</v>
      </c>
      <c r="S289" s="87" t="s">
        <v>634</v>
      </c>
      <c r="T289" s="87"/>
      <c r="U289" s="311">
        <f t="shared" si="39"/>
        <v>1.3</v>
      </c>
      <c r="V289" s="311">
        <f t="shared" si="39"/>
        <v>1.3</v>
      </c>
      <c r="W289" s="311">
        <f t="shared" si="39"/>
        <v>1.3</v>
      </c>
      <c r="X289" s="311">
        <f t="shared" si="39"/>
        <v>1.3</v>
      </c>
      <c r="Y289" s="311">
        <f t="shared" si="39"/>
        <v>1.3</v>
      </c>
      <c r="Z289" s="311">
        <f t="shared" si="39"/>
        <v>1.3</v>
      </c>
      <c r="AA289" s="311">
        <f t="shared" si="39"/>
        <v>1.3</v>
      </c>
      <c r="AB289" s="311">
        <f t="shared" si="39"/>
        <v>1.3</v>
      </c>
      <c r="AC289" s="87"/>
      <c r="AD289" s="87"/>
      <c r="AE289" s="87"/>
      <c r="AF289" s="109">
        <v>1</v>
      </c>
      <c r="AG289" s="109">
        <v>1</v>
      </c>
      <c r="AH289" s="84"/>
      <c r="AI289" s="66"/>
      <c r="AJ289" s="54"/>
      <c r="AK289" s="54"/>
      <c r="AL289" s="54"/>
    </row>
    <row r="290" spans="1:38" outlineLevel="2" x14ac:dyDescent="0.25">
      <c r="A290" s="54"/>
      <c r="B290" s="63"/>
      <c r="C290" s="56">
        <f t="shared" si="38"/>
        <v>3</v>
      </c>
      <c r="D290" s="84"/>
      <c r="E290" s="79"/>
      <c r="F290" s="79" t="s">
        <v>1056</v>
      </c>
      <c r="G290" s="84"/>
      <c r="H290" s="87" t="s">
        <v>1057</v>
      </c>
      <c r="I290" s="108" t="s">
        <v>660</v>
      </c>
      <c r="J290" s="108"/>
      <c r="K290" s="109">
        <v>5</v>
      </c>
      <c r="L290" s="109">
        <v>5</v>
      </c>
      <c r="M290" s="109">
        <v>5</v>
      </c>
      <c r="N290" s="109">
        <v>5</v>
      </c>
      <c r="O290" s="109">
        <v>5</v>
      </c>
      <c r="P290" s="109">
        <v>5</v>
      </c>
      <c r="Q290" s="87"/>
      <c r="R290" s="87" t="s">
        <v>634</v>
      </c>
      <c r="S290" s="87" t="s">
        <v>634</v>
      </c>
      <c r="T290" s="87"/>
      <c r="U290" s="311">
        <f t="shared" si="39"/>
        <v>5</v>
      </c>
      <c r="V290" s="311">
        <f t="shared" si="39"/>
        <v>5</v>
      </c>
      <c r="W290" s="311">
        <f t="shared" si="39"/>
        <v>5</v>
      </c>
      <c r="X290" s="311">
        <f t="shared" si="39"/>
        <v>5</v>
      </c>
      <c r="Y290" s="311">
        <f t="shared" si="39"/>
        <v>5</v>
      </c>
      <c r="Z290" s="311">
        <f t="shared" si="39"/>
        <v>5</v>
      </c>
      <c r="AA290" s="311">
        <f t="shared" si="39"/>
        <v>5</v>
      </c>
      <c r="AB290" s="311">
        <f t="shared" si="39"/>
        <v>5</v>
      </c>
      <c r="AC290" s="87"/>
      <c r="AD290" s="87"/>
      <c r="AE290" s="87"/>
      <c r="AF290" s="109">
        <v>1</v>
      </c>
      <c r="AG290" s="109">
        <v>1</v>
      </c>
      <c r="AH290" s="84"/>
      <c r="AI290" s="66"/>
      <c r="AJ290" s="54"/>
      <c r="AK290" s="54"/>
      <c r="AL290" s="54"/>
    </row>
    <row r="291" spans="1:38" outlineLevel="2" x14ac:dyDescent="0.25">
      <c r="A291" s="54"/>
      <c r="B291" s="63"/>
      <c r="C291" s="56">
        <f t="shared" si="38"/>
        <v>3</v>
      </c>
      <c r="D291" s="84"/>
      <c r="E291" s="79"/>
      <c r="F291" s="79" t="s">
        <v>1058</v>
      </c>
      <c r="G291" s="84"/>
      <c r="H291" s="87" t="s">
        <v>1059</v>
      </c>
      <c r="I291" s="108" t="s">
        <v>1060</v>
      </c>
      <c r="J291" s="108"/>
      <c r="K291" s="109">
        <v>0.15</v>
      </c>
      <c r="L291" s="109">
        <v>0.15</v>
      </c>
      <c r="M291" s="109">
        <v>0.15</v>
      </c>
      <c r="N291" s="109">
        <v>0.15</v>
      </c>
      <c r="O291" s="109">
        <v>0.15</v>
      </c>
      <c r="P291" s="109">
        <v>0.15</v>
      </c>
      <c r="Q291" s="87"/>
      <c r="R291" s="87" t="s">
        <v>634</v>
      </c>
      <c r="S291" s="87" t="s">
        <v>634</v>
      </c>
      <c r="T291" s="87"/>
      <c r="U291" s="311">
        <f t="shared" si="39"/>
        <v>0.15</v>
      </c>
      <c r="V291" s="311">
        <f t="shared" si="39"/>
        <v>0.15</v>
      </c>
      <c r="W291" s="311">
        <f t="shared" si="39"/>
        <v>0.15</v>
      </c>
      <c r="X291" s="311">
        <f t="shared" si="39"/>
        <v>0.15</v>
      </c>
      <c r="Y291" s="311">
        <f t="shared" si="39"/>
        <v>0.15</v>
      </c>
      <c r="Z291" s="311">
        <f t="shared" si="39"/>
        <v>0.15</v>
      </c>
      <c r="AA291" s="311">
        <f t="shared" si="39"/>
        <v>0.15</v>
      </c>
      <c r="AB291" s="311">
        <f t="shared" si="39"/>
        <v>0.15</v>
      </c>
      <c r="AC291" s="87"/>
      <c r="AD291" s="87"/>
      <c r="AE291" s="87"/>
      <c r="AF291" s="109">
        <v>1</v>
      </c>
      <c r="AG291" s="109">
        <v>1</v>
      </c>
      <c r="AH291" s="84"/>
      <c r="AI291" s="66"/>
      <c r="AJ291" s="54"/>
      <c r="AK291" s="54"/>
      <c r="AL291" s="54"/>
    </row>
    <row r="292" spans="1:38" outlineLevel="2" x14ac:dyDescent="0.25">
      <c r="A292" s="54"/>
      <c r="B292" s="63"/>
      <c r="C292" s="56">
        <f t="shared" si="38"/>
        <v>3</v>
      </c>
      <c r="D292" s="84"/>
      <c r="E292" s="79"/>
      <c r="F292" s="79" t="s">
        <v>1061</v>
      </c>
      <c r="G292" s="84"/>
      <c r="H292" s="87" t="s">
        <v>1059</v>
      </c>
      <c r="I292" s="108" t="s">
        <v>660</v>
      </c>
      <c r="J292" s="108"/>
      <c r="K292" s="109">
        <v>10</v>
      </c>
      <c r="L292" s="109">
        <v>10</v>
      </c>
      <c r="M292" s="109">
        <v>10</v>
      </c>
      <c r="N292" s="109">
        <v>10</v>
      </c>
      <c r="O292" s="109">
        <v>10</v>
      </c>
      <c r="P292" s="109">
        <v>10</v>
      </c>
      <c r="Q292" s="87"/>
      <c r="R292" s="87" t="s">
        <v>634</v>
      </c>
      <c r="S292" s="87" t="s">
        <v>634</v>
      </c>
      <c r="T292" s="87"/>
      <c r="U292" s="311">
        <f t="shared" si="39"/>
        <v>10</v>
      </c>
      <c r="V292" s="311">
        <f t="shared" si="39"/>
        <v>10</v>
      </c>
      <c r="W292" s="311">
        <f t="shared" si="39"/>
        <v>10</v>
      </c>
      <c r="X292" s="311">
        <f t="shared" si="39"/>
        <v>10</v>
      </c>
      <c r="Y292" s="311">
        <f t="shared" si="39"/>
        <v>10</v>
      </c>
      <c r="Z292" s="311">
        <f t="shared" si="39"/>
        <v>10</v>
      </c>
      <c r="AA292" s="311">
        <f t="shared" si="39"/>
        <v>10</v>
      </c>
      <c r="AB292" s="311">
        <f t="shared" si="39"/>
        <v>10</v>
      </c>
      <c r="AC292" s="87"/>
      <c r="AD292" s="87"/>
      <c r="AE292" s="87"/>
      <c r="AF292" s="109">
        <v>1</v>
      </c>
      <c r="AG292" s="109">
        <v>1</v>
      </c>
      <c r="AH292" s="84"/>
      <c r="AI292" s="66"/>
      <c r="AJ292" s="54"/>
      <c r="AK292" s="54"/>
      <c r="AL292" s="54"/>
    </row>
    <row r="293" spans="1:38" outlineLevel="2" x14ac:dyDescent="0.25">
      <c r="A293" s="54"/>
      <c r="B293" s="63"/>
      <c r="C293" s="56">
        <f t="shared" si="38"/>
        <v>3</v>
      </c>
      <c r="D293" s="84"/>
      <c r="E293" s="79"/>
      <c r="F293" s="79" t="s">
        <v>1062</v>
      </c>
      <c r="G293" s="84"/>
      <c r="H293" s="87" t="s">
        <v>1063</v>
      </c>
      <c r="I293" s="108" t="s">
        <v>1064</v>
      </c>
      <c r="J293" s="108"/>
      <c r="K293" s="109">
        <v>0.38</v>
      </c>
      <c r="L293" s="109">
        <v>0.38</v>
      </c>
      <c r="M293" s="109">
        <v>0.38</v>
      </c>
      <c r="N293" s="109">
        <v>0.38</v>
      </c>
      <c r="O293" s="109">
        <v>0.38</v>
      </c>
      <c r="P293" s="109">
        <v>0.38</v>
      </c>
      <c r="Q293" s="87"/>
      <c r="R293" s="87" t="s">
        <v>634</v>
      </c>
      <c r="S293" s="87" t="s">
        <v>634</v>
      </c>
      <c r="T293" s="87"/>
      <c r="U293" s="311">
        <f t="shared" si="39"/>
        <v>0.38</v>
      </c>
      <c r="V293" s="311">
        <f t="shared" si="39"/>
        <v>0.38</v>
      </c>
      <c r="W293" s="311">
        <f t="shared" si="39"/>
        <v>0.38</v>
      </c>
      <c r="X293" s="311">
        <f t="shared" si="39"/>
        <v>0.38</v>
      </c>
      <c r="Y293" s="311">
        <f t="shared" si="39"/>
        <v>0.38</v>
      </c>
      <c r="Z293" s="311">
        <f t="shared" si="39"/>
        <v>0.38</v>
      </c>
      <c r="AA293" s="311">
        <f t="shared" si="39"/>
        <v>0.38</v>
      </c>
      <c r="AB293" s="311">
        <f t="shared" si="39"/>
        <v>0.38</v>
      </c>
      <c r="AC293" s="87"/>
      <c r="AD293" s="87"/>
      <c r="AE293" s="87"/>
      <c r="AF293" s="109">
        <v>1</v>
      </c>
      <c r="AG293" s="109">
        <v>1</v>
      </c>
      <c r="AH293" s="84"/>
      <c r="AI293" s="66"/>
      <c r="AJ293" s="54"/>
      <c r="AK293" s="54"/>
      <c r="AL293" s="54"/>
    </row>
    <row r="294" spans="1:38" outlineLevel="1" x14ac:dyDescent="0.25">
      <c r="A294" s="54"/>
      <c r="B294" s="63"/>
      <c r="C294" s="56">
        <f>INT($C$40)+1</f>
        <v>2</v>
      </c>
      <c r="D294" s="84"/>
      <c r="E294" s="79"/>
      <c r="F294" s="314" t="s">
        <v>1065</v>
      </c>
      <c r="G294" s="84"/>
      <c r="H294" s="304" t="s">
        <v>1066</v>
      </c>
      <c r="I294" s="108"/>
      <c r="J294" s="108" t="s">
        <v>642</v>
      </c>
      <c r="K294" s="87"/>
      <c r="L294" s="87"/>
      <c r="M294" s="87"/>
      <c r="N294" s="87"/>
      <c r="O294" s="87"/>
      <c r="P294" s="87"/>
      <c r="Q294" s="87"/>
      <c r="R294" s="87"/>
      <c r="S294" s="87"/>
      <c r="T294" s="87"/>
      <c r="U294" s="91">
        <v>23</v>
      </c>
      <c r="V294" s="87"/>
      <c r="W294" s="91">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1067</v>
      </c>
      <c r="F295" s="79" t="s">
        <v>1068</v>
      </c>
      <c r="G295" s="84"/>
      <c r="H295" s="87" t="s">
        <v>616</v>
      </c>
      <c r="I295" s="108"/>
      <c r="J295" s="108"/>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25">
      <c r="A296" s="54"/>
      <c r="B296" s="63"/>
      <c r="C296" s="56">
        <f t="shared" ref="C296:C317" si="40">INT($C$40)+2</f>
        <v>3</v>
      </c>
      <c r="D296" s="84"/>
      <c r="E296" s="79"/>
      <c r="F296" s="79" t="s">
        <v>1069</v>
      </c>
      <c r="G296" s="84"/>
      <c r="H296" s="87" t="s">
        <v>1070</v>
      </c>
      <c r="I296" s="108" t="s">
        <v>697</v>
      </c>
      <c r="J296" s="108"/>
      <c r="K296" s="109">
        <v>0.6</v>
      </c>
      <c r="L296" s="109">
        <v>0.6</v>
      </c>
      <c r="M296" s="109">
        <v>0.6</v>
      </c>
      <c r="N296" s="109">
        <v>0.6</v>
      </c>
      <c r="O296" s="109">
        <v>0.6</v>
      </c>
      <c r="P296" s="109">
        <v>0.6</v>
      </c>
      <c r="Q296" s="87"/>
      <c r="R296" s="87" t="s">
        <v>634</v>
      </c>
      <c r="S296" s="87" t="s">
        <v>634</v>
      </c>
      <c r="T296" s="87"/>
      <c r="U296" s="311">
        <f t="shared" ref="U296:AB310" si="41">INDEX($K296:$Q296,1,U$54)</f>
        <v>0.6</v>
      </c>
      <c r="V296" s="311">
        <f t="shared" si="41"/>
        <v>0.6</v>
      </c>
      <c r="W296" s="311">
        <f t="shared" si="41"/>
        <v>0.6</v>
      </c>
      <c r="X296" s="311">
        <f t="shared" si="41"/>
        <v>0.6</v>
      </c>
      <c r="Y296" s="311">
        <f t="shared" si="41"/>
        <v>0.6</v>
      </c>
      <c r="Z296" s="311">
        <f t="shared" si="41"/>
        <v>0.6</v>
      </c>
      <c r="AA296" s="311">
        <f t="shared" si="41"/>
        <v>0.6</v>
      </c>
      <c r="AB296" s="311">
        <f t="shared" si="41"/>
        <v>0.6</v>
      </c>
      <c r="AC296" s="87"/>
      <c r="AD296" s="87"/>
      <c r="AE296" s="87"/>
      <c r="AF296" s="109">
        <v>1</v>
      </c>
      <c r="AG296" s="109">
        <v>1</v>
      </c>
      <c r="AH296" s="84"/>
      <c r="AI296" s="66"/>
      <c r="AJ296" s="54"/>
      <c r="AK296" s="54"/>
      <c r="AL296" s="54"/>
    </row>
    <row r="297" spans="1:38" outlineLevel="2" x14ac:dyDescent="0.25">
      <c r="A297" s="54"/>
      <c r="B297" s="63"/>
      <c r="C297" s="56">
        <f t="shared" si="40"/>
        <v>3</v>
      </c>
      <c r="D297" s="84"/>
      <c r="E297" s="79"/>
      <c r="F297" s="79" t="s">
        <v>1071</v>
      </c>
      <c r="G297" s="84"/>
      <c r="H297" s="87" t="s">
        <v>1072</v>
      </c>
      <c r="I297" s="108" t="s">
        <v>697</v>
      </c>
      <c r="J297" s="108"/>
      <c r="K297" s="109">
        <v>0.7</v>
      </c>
      <c r="L297" s="109">
        <v>0.7</v>
      </c>
      <c r="M297" s="109">
        <v>0.7</v>
      </c>
      <c r="N297" s="109">
        <v>0.7</v>
      </c>
      <c r="O297" s="109">
        <v>0.7</v>
      </c>
      <c r="P297" s="109">
        <v>0.7</v>
      </c>
      <c r="Q297" s="87"/>
      <c r="R297" s="87" t="s">
        <v>634</v>
      </c>
      <c r="S297" s="87" t="s">
        <v>634</v>
      </c>
      <c r="T297" s="87"/>
      <c r="U297" s="311">
        <f t="shared" si="41"/>
        <v>0.7</v>
      </c>
      <c r="V297" s="311">
        <f t="shared" si="41"/>
        <v>0.7</v>
      </c>
      <c r="W297" s="311">
        <f t="shared" si="41"/>
        <v>0.7</v>
      </c>
      <c r="X297" s="311">
        <f t="shared" si="41"/>
        <v>0.7</v>
      </c>
      <c r="Y297" s="311">
        <f t="shared" si="41"/>
        <v>0.7</v>
      </c>
      <c r="Z297" s="311">
        <f t="shared" si="41"/>
        <v>0.7</v>
      </c>
      <c r="AA297" s="311">
        <f t="shared" si="41"/>
        <v>0.7</v>
      </c>
      <c r="AB297" s="311">
        <f t="shared" si="41"/>
        <v>0.7</v>
      </c>
      <c r="AC297" s="87"/>
      <c r="AD297" s="87"/>
      <c r="AE297" s="87"/>
      <c r="AF297" s="109">
        <v>1</v>
      </c>
      <c r="AG297" s="109">
        <v>1</v>
      </c>
      <c r="AH297" s="84"/>
      <c r="AI297" s="66"/>
      <c r="AJ297" s="54"/>
      <c r="AK297" s="54"/>
      <c r="AL297" s="54"/>
    </row>
    <row r="298" spans="1:38" outlineLevel="2" x14ac:dyDescent="0.25">
      <c r="A298" s="54"/>
      <c r="B298" s="63"/>
      <c r="C298" s="56">
        <f t="shared" si="40"/>
        <v>3</v>
      </c>
      <c r="D298" s="84"/>
      <c r="E298" s="79"/>
      <c r="F298" s="79" t="s">
        <v>1073</v>
      </c>
      <c r="G298" s="84"/>
      <c r="H298" s="87" t="s">
        <v>1074</v>
      </c>
      <c r="I298" s="108" t="s">
        <v>697</v>
      </c>
      <c r="J298" s="108"/>
      <c r="K298" s="109">
        <v>0.8</v>
      </c>
      <c r="L298" s="109">
        <v>0.8</v>
      </c>
      <c r="M298" s="109">
        <v>0.8</v>
      </c>
      <c r="N298" s="109">
        <v>0.8</v>
      </c>
      <c r="O298" s="109">
        <v>0.8</v>
      </c>
      <c r="P298" s="109">
        <v>0.8</v>
      </c>
      <c r="Q298" s="87"/>
      <c r="R298" s="87" t="s">
        <v>634</v>
      </c>
      <c r="S298" s="87" t="s">
        <v>634</v>
      </c>
      <c r="T298" s="87"/>
      <c r="U298" s="311">
        <f t="shared" si="41"/>
        <v>0.8</v>
      </c>
      <c r="V298" s="311">
        <f t="shared" si="41"/>
        <v>0.8</v>
      </c>
      <c r="W298" s="311">
        <f t="shared" si="41"/>
        <v>0.8</v>
      </c>
      <c r="X298" s="311">
        <f t="shared" si="41"/>
        <v>0.8</v>
      </c>
      <c r="Y298" s="311">
        <f t="shared" si="41"/>
        <v>0.8</v>
      </c>
      <c r="Z298" s="311">
        <f t="shared" si="41"/>
        <v>0.8</v>
      </c>
      <c r="AA298" s="311">
        <f t="shared" si="41"/>
        <v>0.8</v>
      </c>
      <c r="AB298" s="311">
        <f t="shared" si="41"/>
        <v>0.8</v>
      </c>
      <c r="AC298" s="87"/>
      <c r="AD298" s="87"/>
      <c r="AE298" s="87"/>
      <c r="AF298" s="109">
        <v>1</v>
      </c>
      <c r="AG298" s="109">
        <v>1</v>
      </c>
      <c r="AH298" s="84"/>
      <c r="AI298" s="66"/>
      <c r="AJ298" s="54"/>
      <c r="AK298" s="54"/>
      <c r="AL298" s="54"/>
    </row>
    <row r="299" spans="1:38" outlineLevel="2" x14ac:dyDescent="0.25">
      <c r="A299" s="54"/>
      <c r="B299" s="63"/>
      <c r="C299" s="56">
        <f t="shared" si="40"/>
        <v>3</v>
      </c>
      <c r="D299" s="84"/>
      <c r="E299" s="79"/>
      <c r="F299" s="79" t="s">
        <v>1075</v>
      </c>
      <c r="G299" s="84"/>
      <c r="H299" s="87" t="s">
        <v>1076</v>
      </c>
      <c r="I299" s="108" t="s">
        <v>623</v>
      </c>
      <c r="J299" s="108"/>
      <c r="K299" s="109">
        <v>6</v>
      </c>
      <c r="L299" s="109">
        <v>6</v>
      </c>
      <c r="M299" s="109">
        <v>6</v>
      </c>
      <c r="N299" s="109">
        <v>6</v>
      </c>
      <c r="O299" s="109">
        <v>6</v>
      </c>
      <c r="P299" s="109">
        <v>6</v>
      </c>
      <c r="Q299" s="87"/>
      <c r="R299" s="87" t="s">
        <v>634</v>
      </c>
      <c r="S299" s="87" t="s">
        <v>634</v>
      </c>
      <c r="T299" s="87"/>
      <c r="U299" s="311">
        <f t="shared" si="41"/>
        <v>6</v>
      </c>
      <c r="V299" s="311">
        <f t="shared" si="41"/>
        <v>6</v>
      </c>
      <c r="W299" s="311">
        <f t="shared" si="41"/>
        <v>6</v>
      </c>
      <c r="X299" s="311">
        <f t="shared" si="41"/>
        <v>6</v>
      </c>
      <c r="Y299" s="311">
        <f t="shared" si="41"/>
        <v>6</v>
      </c>
      <c r="Z299" s="311">
        <f t="shared" si="41"/>
        <v>6</v>
      </c>
      <c r="AA299" s="311">
        <f t="shared" si="41"/>
        <v>6</v>
      </c>
      <c r="AB299" s="311">
        <f t="shared" si="41"/>
        <v>6</v>
      </c>
      <c r="AC299" s="87"/>
      <c r="AD299" s="87"/>
      <c r="AE299" s="87"/>
      <c r="AF299" s="109">
        <v>1</v>
      </c>
      <c r="AG299" s="109">
        <v>1</v>
      </c>
      <c r="AH299" s="84"/>
      <c r="AI299" s="66"/>
      <c r="AJ299" s="54"/>
      <c r="AK299" s="54"/>
      <c r="AL299" s="54"/>
    </row>
    <row r="300" spans="1:38" outlineLevel="2" x14ac:dyDescent="0.25">
      <c r="A300" s="54"/>
      <c r="B300" s="63"/>
      <c r="C300" s="56">
        <f t="shared" si="40"/>
        <v>3</v>
      </c>
      <c r="D300" s="84"/>
      <c r="E300" s="79"/>
      <c r="F300" s="79" t="s">
        <v>1077</v>
      </c>
      <c r="G300" s="84"/>
      <c r="H300" s="87" t="s">
        <v>1078</v>
      </c>
      <c r="I300" s="108" t="s">
        <v>623</v>
      </c>
      <c r="J300" s="108"/>
      <c r="K300" s="109">
        <v>0.4</v>
      </c>
      <c r="L300" s="109">
        <v>0.4</v>
      </c>
      <c r="M300" s="109">
        <v>0.4</v>
      </c>
      <c r="N300" s="109">
        <v>0.4</v>
      </c>
      <c r="O300" s="109">
        <v>0.4</v>
      </c>
      <c r="P300" s="109">
        <v>0.4</v>
      </c>
      <c r="Q300" s="87"/>
      <c r="R300" s="87" t="s">
        <v>634</v>
      </c>
      <c r="S300" s="87" t="s">
        <v>634</v>
      </c>
      <c r="T300" s="87"/>
      <c r="U300" s="311">
        <f t="shared" si="41"/>
        <v>0.4</v>
      </c>
      <c r="V300" s="311">
        <f t="shared" si="41"/>
        <v>0.4</v>
      </c>
      <c r="W300" s="311">
        <f t="shared" si="41"/>
        <v>0.4</v>
      </c>
      <c r="X300" s="311">
        <f t="shared" si="41"/>
        <v>0.4</v>
      </c>
      <c r="Y300" s="311">
        <f t="shared" si="41"/>
        <v>0.4</v>
      </c>
      <c r="Z300" s="311">
        <f t="shared" si="41"/>
        <v>0.4</v>
      </c>
      <c r="AA300" s="311">
        <f t="shared" si="41"/>
        <v>0.4</v>
      </c>
      <c r="AB300" s="311">
        <f t="shared" si="41"/>
        <v>0.4</v>
      </c>
      <c r="AC300" s="87"/>
      <c r="AD300" s="87"/>
      <c r="AE300" s="87"/>
      <c r="AF300" s="109">
        <v>1</v>
      </c>
      <c r="AG300" s="109">
        <v>1</v>
      </c>
      <c r="AH300" s="84"/>
      <c r="AI300" s="66"/>
      <c r="AJ300" s="54"/>
      <c r="AK300" s="54"/>
      <c r="AL300" s="54"/>
    </row>
    <row r="301" spans="1:38" outlineLevel="2" x14ac:dyDescent="0.25">
      <c r="A301" s="54"/>
      <c r="B301" s="63"/>
      <c r="C301" s="56">
        <f t="shared" si="40"/>
        <v>3</v>
      </c>
      <c r="D301" s="84"/>
      <c r="E301" s="79"/>
      <c r="F301" s="79" t="s">
        <v>1079</v>
      </c>
      <c r="G301" s="84"/>
      <c r="H301" s="87" t="s">
        <v>1080</v>
      </c>
      <c r="I301" s="108" t="s">
        <v>718</v>
      </c>
      <c r="J301" s="108"/>
      <c r="K301" s="109">
        <v>0.9</v>
      </c>
      <c r="L301" s="109">
        <v>0.9</v>
      </c>
      <c r="M301" s="109">
        <v>0.9</v>
      </c>
      <c r="N301" s="109">
        <v>0.9</v>
      </c>
      <c r="O301" s="109">
        <v>0.9</v>
      </c>
      <c r="P301" s="109">
        <v>0.9</v>
      </c>
      <c r="Q301" s="87"/>
      <c r="R301" s="87" t="s">
        <v>634</v>
      </c>
      <c r="S301" s="87" t="s">
        <v>634</v>
      </c>
      <c r="T301" s="87"/>
      <c r="U301" s="311">
        <f t="shared" si="41"/>
        <v>0.9</v>
      </c>
      <c r="V301" s="311">
        <f t="shared" si="41"/>
        <v>0.9</v>
      </c>
      <c r="W301" s="311">
        <f t="shared" si="41"/>
        <v>0.9</v>
      </c>
      <c r="X301" s="311">
        <f t="shared" si="41"/>
        <v>0.9</v>
      </c>
      <c r="Y301" s="311">
        <f t="shared" si="41"/>
        <v>0.9</v>
      </c>
      <c r="Z301" s="311">
        <f t="shared" si="41"/>
        <v>0.9</v>
      </c>
      <c r="AA301" s="311">
        <f t="shared" si="41"/>
        <v>0.9</v>
      </c>
      <c r="AB301" s="311">
        <f t="shared" si="41"/>
        <v>0.9</v>
      </c>
      <c r="AC301" s="87"/>
      <c r="AD301" s="87"/>
      <c r="AE301" s="87"/>
      <c r="AF301" s="109">
        <v>1</v>
      </c>
      <c r="AG301" s="109">
        <v>1</v>
      </c>
      <c r="AH301" s="84"/>
      <c r="AI301" s="66"/>
      <c r="AJ301" s="54"/>
      <c r="AK301" s="54"/>
      <c r="AL301" s="54"/>
    </row>
    <row r="302" spans="1:38" outlineLevel="2" x14ac:dyDescent="0.25">
      <c r="A302" s="54"/>
      <c r="B302" s="63"/>
      <c r="C302" s="56">
        <f t="shared" si="40"/>
        <v>3</v>
      </c>
      <c r="D302" s="84"/>
      <c r="E302" s="79"/>
      <c r="F302" s="79" t="s">
        <v>1081</v>
      </c>
      <c r="G302" s="84"/>
      <c r="H302" s="87" t="s">
        <v>1082</v>
      </c>
      <c r="I302" s="108" t="s">
        <v>718</v>
      </c>
      <c r="J302" s="108"/>
      <c r="K302" s="109">
        <v>0.97</v>
      </c>
      <c r="L302" s="109">
        <v>0.97</v>
      </c>
      <c r="M302" s="109">
        <v>0.97</v>
      </c>
      <c r="N302" s="109">
        <v>0.97</v>
      </c>
      <c r="O302" s="109">
        <v>0.97</v>
      </c>
      <c r="P302" s="109">
        <v>0.97</v>
      </c>
      <c r="Q302" s="87"/>
      <c r="R302" s="87" t="s">
        <v>634</v>
      </c>
      <c r="S302" s="87" t="s">
        <v>634</v>
      </c>
      <c r="T302" s="87"/>
      <c r="U302" s="311">
        <f t="shared" si="41"/>
        <v>0.97</v>
      </c>
      <c r="V302" s="311">
        <f t="shared" si="41"/>
        <v>0.97</v>
      </c>
      <c r="W302" s="311">
        <f t="shared" si="41"/>
        <v>0.97</v>
      </c>
      <c r="X302" s="311">
        <f t="shared" si="41"/>
        <v>0.97</v>
      </c>
      <c r="Y302" s="311">
        <f t="shared" si="41"/>
        <v>0.97</v>
      </c>
      <c r="Z302" s="311">
        <f t="shared" si="41"/>
        <v>0.97</v>
      </c>
      <c r="AA302" s="311">
        <f t="shared" si="41"/>
        <v>0.97</v>
      </c>
      <c r="AB302" s="311">
        <f t="shared" si="41"/>
        <v>0.97</v>
      </c>
      <c r="AC302" s="87"/>
      <c r="AD302" s="87"/>
      <c r="AE302" s="87"/>
      <c r="AF302" s="109">
        <v>1</v>
      </c>
      <c r="AG302" s="109">
        <v>1</v>
      </c>
      <c r="AH302" s="84"/>
      <c r="AI302" s="66"/>
      <c r="AJ302" s="54"/>
      <c r="AK302" s="54"/>
      <c r="AL302" s="54"/>
    </row>
    <row r="303" spans="1:38" outlineLevel="2" x14ac:dyDescent="0.25">
      <c r="A303" s="54"/>
      <c r="B303" s="63"/>
      <c r="C303" s="56">
        <f t="shared" si="40"/>
        <v>3</v>
      </c>
      <c r="D303" s="84"/>
      <c r="E303" s="79"/>
      <c r="F303" s="79" t="s">
        <v>1083</v>
      </c>
      <c r="G303" s="84"/>
      <c r="H303" s="87" t="s">
        <v>1084</v>
      </c>
      <c r="I303" s="108" t="s">
        <v>647</v>
      </c>
      <c r="J303" s="108"/>
      <c r="K303" s="109">
        <v>27</v>
      </c>
      <c r="L303" s="109">
        <v>27</v>
      </c>
      <c r="M303" s="109">
        <v>27</v>
      </c>
      <c r="N303" s="109">
        <v>23.2</v>
      </c>
      <c r="O303" s="109">
        <v>23.2</v>
      </c>
      <c r="P303" s="109">
        <v>27</v>
      </c>
      <c r="Q303" s="87"/>
      <c r="R303" s="87" t="s">
        <v>634</v>
      </c>
      <c r="S303" s="87" t="s">
        <v>634</v>
      </c>
      <c r="T303" s="87"/>
      <c r="U303" s="311">
        <f t="shared" si="41"/>
        <v>27</v>
      </c>
      <c r="V303" s="311">
        <f t="shared" si="41"/>
        <v>27</v>
      </c>
      <c r="W303" s="311">
        <f t="shared" si="41"/>
        <v>27</v>
      </c>
      <c r="X303" s="311">
        <f t="shared" si="41"/>
        <v>27</v>
      </c>
      <c r="Y303" s="311">
        <f t="shared" si="41"/>
        <v>27</v>
      </c>
      <c r="Z303" s="311">
        <f t="shared" si="41"/>
        <v>27</v>
      </c>
      <c r="AA303" s="311">
        <f t="shared" si="41"/>
        <v>27</v>
      </c>
      <c r="AB303" s="311">
        <f t="shared" si="41"/>
        <v>27</v>
      </c>
      <c r="AC303" s="87"/>
      <c r="AD303" s="87"/>
      <c r="AE303" s="87"/>
      <c r="AF303" s="109">
        <v>1</v>
      </c>
      <c r="AG303" s="109">
        <v>1</v>
      </c>
      <c r="AH303" s="84"/>
      <c r="AI303" s="66"/>
      <c r="AJ303" s="54"/>
      <c r="AK303" s="54"/>
      <c r="AL303" s="54"/>
    </row>
    <row r="304" spans="1:38" outlineLevel="2" x14ac:dyDescent="0.25">
      <c r="A304" s="54"/>
      <c r="B304" s="63"/>
      <c r="C304" s="56">
        <f t="shared" si="40"/>
        <v>3</v>
      </c>
      <c r="D304" s="84"/>
      <c r="E304" s="79"/>
      <c r="F304" s="79" t="s">
        <v>1085</v>
      </c>
      <c r="G304" s="84"/>
      <c r="H304" s="87" t="s">
        <v>1086</v>
      </c>
      <c r="I304" s="108" t="s">
        <v>718</v>
      </c>
      <c r="J304" s="108"/>
      <c r="K304" s="109">
        <v>20.3</v>
      </c>
      <c r="L304" s="109">
        <v>20.3</v>
      </c>
      <c r="M304" s="109">
        <v>20.3</v>
      </c>
      <c r="N304" s="109">
        <v>16.5</v>
      </c>
      <c r="O304" s="109">
        <v>16.5</v>
      </c>
      <c r="P304" s="109">
        <v>20.3</v>
      </c>
      <c r="Q304" s="87"/>
      <c r="R304" s="87" t="s">
        <v>634</v>
      </c>
      <c r="S304" s="87" t="s">
        <v>634</v>
      </c>
      <c r="T304" s="87"/>
      <c r="U304" s="311">
        <f t="shared" si="41"/>
        <v>20.3</v>
      </c>
      <c r="V304" s="311">
        <f t="shared" si="41"/>
        <v>20.3</v>
      </c>
      <c r="W304" s="311">
        <f t="shared" si="41"/>
        <v>20.3</v>
      </c>
      <c r="X304" s="311">
        <f t="shared" si="41"/>
        <v>20.3</v>
      </c>
      <c r="Y304" s="311">
        <f t="shared" si="41"/>
        <v>20.3</v>
      </c>
      <c r="Z304" s="311">
        <f t="shared" si="41"/>
        <v>20.3</v>
      </c>
      <c r="AA304" s="311">
        <f t="shared" si="41"/>
        <v>20.3</v>
      </c>
      <c r="AB304" s="311">
        <f t="shared" si="41"/>
        <v>20.3</v>
      </c>
      <c r="AC304" s="87"/>
      <c r="AD304" s="87"/>
      <c r="AE304" s="87"/>
      <c r="AF304" s="109">
        <v>1</v>
      </c>
      <c r="AG304" s="109">
        <v>1</v>
      </c>
      <c r="AH304" s="84"/>
      <c r="AI304" s="66"/>
      <c r="AJ304" s="54"/>
      <c r="AK304" s="54"/>
      <c r="AL304" s="54"/>
    </row>
    <row r="305" spans="1:38" outlineLevel="2" x14ac:dyDescent="0.25">
      <c r="A305" s="54"/>
      <c r="B305" s="63"/>
      <c r="C305" s="56">
        <f t="shared" si="40"/>
        <v>3</v>
      </c>
      <c r="D305" s="84"/>
      <c r="E305" s="79"/>
      <c r="F305" s="79" t="s">
        <v>1087</v>
      </c>
      <c r="G305" s="84"/>
      <c r="H305" s="87" t="s">
        <v>1088</v>
      </c>
      <c r="I305" s="108" t="s">
        <v>647</v>
      </c>
      <c r="J305" s="108"/>
      <c r="K305" s="109">
        <v>2</v>
      </c>
      <c r="L305" s="109">
        <v>2</v>
      </c>
      <c r="M305" s="109">
        <v>2</v>
      </c>
      <c r="N305" s="109">
        <v>2</v>
      </c>
      <c r="O305" s="109">
        <v>2</v>
      </c>
      <c r="P305" s="109">
        <v>2</v>
      </c>
      <c r="Q305" s="87"/>
      <c r="R305" s="87" t="s">
        <v>634</v>
      </c>
      <c r="S305" s="87" t="s">
        <v>634</v>
      </c>
      <c r="T305" s="87"/>
      <c r="U305" s="311">
        <f t="shared" si="41"/>
        <v>2</v>
      </c>
      <c r="V305" s="311">
        <f t="shared" si="41"/>
        <v>2</v>
      </c>
      <c r="W305" s="311">
        <f t="shared" si="41"/>
        <v>2</v>
      </c>
      <c r="X305" s="311">
        <f t="shared" si="41"/>
        <v>2</v>
      </c>
      <c r="Y305" s="311">
        <f t="shared" si="41"/>
        <v>2</v>
      </c>
      <c r="Z305" s="311">
        <f t="shared" si="41"/>
        <v>2</v>
      </c>
      <c r="AA305" s="311">
        <f t="shared" si="41"/>
        <v>2</v>
      </c>
      <c r="AB305" s="311">
        <f t="shared" si="41"/>
        <v>2</v>
      </c>
      <c r="AC305" s="87"/>
      <c r="AD305" s="87"/>
      <c r="AE305" s="87"/>
      <c r="AF305" s="109">
        <v>1</v>
      </c>
      <c r="AG305" s="109">
        <v>1</v>
      </c>
      <c r="AH305" s="84"/>
      <c r="AI305" s="66"/>
      <c r="AJ305" s="54"/>
      <c r="AK305" s="54"/>
      <c r="AL305" s="54"/>
    </row>
    <row r="306" spans="1:38" outlineLevel="2" x14ac:dyDescent="0.25">
      <c r="A306" s="54"/>
      <c r="B306" s="63"/>
      <c r="C306" s="56">
        <f t="shared" si="40"/>
        <v>3</v>
      </c>
      <c r="D306" s="84"/>
      <c r="E306" s="79"/>
      <c r="F306" s="79" t="s">
        <v>1089</v>
      </c>
      <c r="G306" s="84"/>
      <c r="H306" s="87" t="s">
        <v>1090</v>
      </c>
      <c r="I306" s="108" t="s">
        <v>623</v>
      </c>
      <c r="J306" s="108"/>
      <c r="K306" s="109">
        <v>13.8</v>
      </c>
      <c r="L306" s="109">
        <v>13.8</v>
      </c>
      <c r="M306" s="109">
        <v>13.8</v>
      </c>
      <c r="N306" s="109">
        <v>13.8</v>
      </c>
      <c r="O306" s="109">
        <v>13.8</v>
      </c>
      <c r="P306" s="109">
        <v>13.8</v>
      </c>
      <c r="Q306" s="87"/>
      <c r="R306" s="87" t="s">
        <v>673</v>
      </c>
      <c r="S306" s="87" t="s">
        <v>673</v>
      </c>
      <c r="T306" s="87"/>
      <c r="U306" s="311">
        <f t="shared" si="41"/>
        <v>13.8</v>
      </c>
      <c r="V306" s="311">
        <f t="shared" si="41"/>
        <v>13.8</v>
      </c>
      <c r="W306" s="311">
        <f t="shared" si="41"/>
        <v>13.8</v>
      </c>
      <c r="X306" s="311">
        <f t="shared" si="41"/>
        <v>13.8</v>
      </c>
      <c r="Y306" s="311">
        <f t="shared" si="41"/>
        <v>13.8</v>
      </c>
      <c r="Z306" s="311">
        <f t="shared" si="41"/>
        <v>13.8</v>
      </c>
      <c r="AA306" s="311">
        <f t="shared" si="41"/>
        <v>13.8</v>
      </c>
      <c r="AB306" s="311">
        <f t="shared" si="41"/>
        <v>13.8</v>
      </c>
      <c r="AC306" s="87"/>
      <c r="AD306" s="87"/>
      <c r="AE306" s="87"/>
      <c r="AF306" s="109">
        <v>1</v>
      </c>
      <c r="AG306" s="109">
        <v>1</v>
      </c>
      <c r="AH306" s="84"/>
      <c r="AI306" s="66"/>
      <c r="AJ306" s="54"/>
      <c r="AK306" s="54"/>
      <c r="AL306" s="54"/>
    </row>
    <row r="307" spans="1:38" outlineLevel="2" x14ac:dyDescent="0.25">
      <c r="A307" s="54"/>
      <c r="B307" s="63"/>
      <c r="C307" s="56">
        <f t="shared" si="40"/>
        <v>3</v>
      </c>
      <c r="D307" s="84"/>
      <c r="E307" s="79"/>
      <c r="F307" s="79" t="s">
        <v>1091</v>
      </c>
      <c r="G307" s="84"/>
      <c r="H307" s="87" t="s">
        <v>1092</v>
      </c>
      <c r="I307" s="108" t="s">
        <v>623</v>
      </c>
      <c r="J307" s="108"/>
      <c r="K307" s="109">
        <v>7.1999999999999995E-2</v>
      </c>
      <c r="L307" s="109">
        <v>7.1999999999999995E-2</v>
      </c>
      <c r="M307" s="109">
        <v>7.1999999999999995E-2</v>
      </c>
      <c r="N307" s="109">
        <v>9.1999999999999998E-2</v>
      </c>
      <c r="O307" s="109">
        <v>9.1999999999999998E-2</v>
      </c>
      <c r="P307" s="109">
        <v>7.1999999999999995E-2</v>
      </c>
      <c r="Q307" s="87"/>
      <c r="R307" s="87" t="s">
        <v>673</v>
      </c>
      <c r="S307" s="87" t="s">
        <v>673</v>
      </c>
      <c r="T307" s="87"/>
      <c r="U307" s="311">
        <f t="shared" si="41"/>
        <v>7.1999999999999995E-2</v>
      </c>
      <c r="V307" s="311">
        <f t="shared" si="41"/>
        <v>7.1999999999999995E-2</v>
      </c>
      <c r="W307" s="311">
        <f t="shared" si="41"/>
        <v>7.1999999999999995E-2</v>
      </c>
      <c r="X307" s="311">
        <f t="shared" si="41"/>
        <v>7.1999999999999995E-2</v>
      </c>
      <c r="Y307" s="311">
        <f t="shared" si="41"/>
        <v>7.1999999999999995E-2</v>
      </c>
      <c r="Z307" s="311">
        <f t="shared" si="41"/>
        <v>7.1999999999999995E-2</v>
      </c>
      <c r="AA307" s="311">
        <f t="shared" si="41"/>
        <v>7.1999999999999995E-2</v>
      </c>
      <c r="AB307" s="311">
        <f t="shared" si="41"/>
        <v>7.1999999999999995E-2</v>
      </c>
      <c r="AC307" s="87"/>
      <c r="AD307" s="87"/>
      <c r="AE307" s="87"/>
      <c r="AF307" s="109">
        <v>1</v>
      </c>
      <c r="AG307" s="109">
        <v>1</v>
      </c>
      <c r="AH307" s="84"/>
      <c r="AI307" s="66"/>
      <c r="AJ307" s="54"/>
      <c r="AK307" s="54"/>
      <c r="AL307" s="54"/>
    </row>
    <row r="308" spans="1:38" outlineLevel="2" x14ac:dyDescent="0.25">
      <c r="A308" s="54"/>
      <c r="B308" s="63"/>
      <c r="C308" s="56">
        <f t="shared" si="40"/>
        <v>3</v>
      </c>
      <c r="D308" s="84"/>
      <c r="E308" s="79"/>
      <c r="F308" s="79" t="s">
        <v>1093</v>
      </c>
      <c r="G308" s="84"/>
      <c r="H308" s="87" t="s">
        <v>1094</v>
      </c>
      <c r="I308" s="108" t="s">
        <v>623</v>
      </c>
      <c r="J308" s="108"/>
      <c r="K308" s="109">
        <v>0.14000000000000001</v>
      </c>
      <c r="L308" s="109">
        <v>0.14000000000000001</v>
      </c>
      <c r="M308" s="109">
        <v>0.14000000000000001</v>
      </c>
      <c r="N308" s="109">
        <v>0.12</v>
      </c>
      <c r="O308" s="109">
        <v>0.12</v>
      </c>
      <c r="P308" s="109">
        <v>0.14000000000000001</v>
      </c>
      <c r="Q308" s="87"/>
      <c r="R308" s="87" t="s">
        <v>634</v>
      </c>
      <c r="S308" s="87" t="s">
        <v>634</v>
      </c>
      <c r="T308" s="87"/>
      <c r="U308" s="311">
        <f t="shared" si="41"/>
        <v>0.14000000000000001</v>
      </c>
      <c r="V308" s="311">
        <f t="shared" si="41"/>
        <v>0.14000000000000001</v>
      </c>
      <c r="W308" s="311">
        <f t="shared" si="41"/>
        <v>0.14000000000000001</v>
      </c>
      <c r="X308" s="311">
        <f t="shared" si="41"/>
        <v>0.14000000000000001</v>
      </c>
      <c r="Y308" s="311">
        <f t="shared" si="41"/>
        <v>0.14000000000000001</v>
      </c>
      <c r="Z308" s="311">
        <f t="shared" si="41"/>
        <v>0.14000000000000001</v>
      </c>
      <c r="AA308" s="311">
        <f t="shared" si="41"/>
        <v>0.14000000000000001</v>
      </c>
      <c r="AB308" s="311">
        <f t="shared" si="41"/>
        <v>0.14000000000000001</v>
      </c>
      <c r="AC308" s="87"/>
      <c r="AD308" s="87"/>
      <c r="AE308" s="87"/>
      <c r="AF308" s="109">
        <v>1</v>
      </c>
      <c r="AG308" s="109">
        <v>1</v>
      </c>
      <c r="AH308" s="84"/>
      <c r="AI308" s="66"/>
      <c r="AJ308" s="54"/>
      <c r="AK308" s="54"/>
      <c r="AL308" s="54"/>
    </row>
    <row r="309" spans="1:38" outlineLevel="2" x14ac:dyDescent="0.25">
      <c r="A309" s="54"/>
      <c r="B309" s="63"/>
      <c r="C309" s="56">
        <f t="shared" si="40"/>
        <v>3</v>
      </c>
      <c r="D309" s="84"/>
      <c r="E309" s="79"/>
      <c r="F309" s="79" t="s">
        <v>1095</v>
      </c>
      <c r="G309" s="84"/>
      <c r="H309" s="87" t="s">
        <v>1096</v>
      </c>
      <c r="I309" s="108" t="s">
        <v>623</v>
      </c>
      <c r="J309" s="108"/>
      <c r="K309" s="109">
        <v>8.0000000000000002E-3</v>
      </c>
      <c r="L309" s="109">
        <v>8.0000000000000002E-3</v>
      </c>
      <c r="M309" s="109">
        <v>8.0000000000000002E-3</v>
      </c>
      <c r="N309" s="109">
        <v>8.0000000000000002E-3</v>
      </c>
      <c r="O309" s="109">
        <v>8.0000000000000002E-3</v>
      </c>
      <c r="P309" s="109">
        <v>8.0000000000000002E-3</v>
      </c>
      <c r="Q309" s="87"/>
      <c r="R309" s="87" t="s">
        <v>634</v>
      </c>
      <c r="S309" s="87" t="s">
        <v>634</v>
      </c>
      <c r="T309" s="87"/>
      <c r="U309" s="311">
        <f t="shared" si="41"/>
        <v>8.0000000000000002E-3</v>
      </c>
      <c r="V309" s="311">
        <f t="shared" si="41"/>
        <v>8.0000000000000002E-3</v>
      </c>
      <c r="W309" s="311">
        <f t="shared" si="41"/>
        <v>8.0000000000000002E-3</v>
      </c>
      <c r="X309" s="311">
        <f t="shared" si="41"/>
        <v>8.0000000000000002E-3</v>
      </c>
      <c r="Y309" s="311">
        <f t="shared" si="41"/>
        <v>8.0000000000000002E-3</v>
      </c>
      <c r="Z309" s="311">
        <f t="shared" si="41"/>
        <v>8.0000000000000002E-3</v>
      </c>
      <c r="AA309" s="311">
        <f t="shared" si="41"/>
        <v>8.0000000000000002E-3</v>
      </c>
      <c r="AB309" s="311">
        <f t="shared" si="41"/>
        <v>8.0000000000000002E-3</v>
      </c>
      <c r="AC309" s="87"/>
      <c r="AD309" s="87"/>
      <c r="AE309" s="87"/>
      <c r="AF309" s="109">
        <v>1</v>
      </c>
      <c r="AG309" s="109">
        <v>1</v>
      </c>
      <c r="AH309" s="84"/>
      <c r="AI309" s="66"/>
      <c r="AJ309" s="54"/>
      <c r="AK309" s="54"/>
      <c r="AL309" s="54"/>
    </row>
    <row r="310" spans="1:38" outlineLevel="2" collapsed="1" x14ac:dyDescent="0.25">
      <c r="A310" s="54"/>
      <c r="B310" s="63"/>
      <c r="C310" s="56">
        <f t="shared" si="40"/>
        <v>3</v>
      </c>
      <c r="D310" s="84"/>
      <c r="E310" s="79"/>
      <c r="F310" s="79" t="s">
        <v>1097</v>
      </c>
      <c r="G310" s="84"/>
      <c r="H310" s="87" t="s">
        <v>1098</v>
      </c>
      <c r="I310" s="108" t="s">
        <v>623</v>
      </c>
      <c r="J310" s="108"/>
      <c r="K310" s="109">
        <v>0.115</v>
      </c>
      <c r="L310" s="109">
        <v>0.115</v>
      </c>
      <c r="M310" s="109">
        <v>0.115</v>
      </c>
      <c r="N310" s="109">
        <v>0.115</v>
      </c>
      <c r="O310" s="109">
        <v>0.115</v>
      </c>
      <c r="P310" s="109">
        <v>0.115</v>
      </c>
      <c r="Q310" s="87"/>
      <c r="R310" s="87" t="s">
        <v>634</v>
      </c>
      <c r="S310" s="87" t="s">
        <v>634</v>
      </c>
      <c r="T310" s="87"/>
      <c r="U310" s="311">
        <f t="shared" si="41"/>
        <v>0.115</v>
      </c>
      <c r="V310" s="311">
        <f t="shared" si="41"/>
        <v>0.115</v>
      </c>
      <c r="W310" s="311">
        <f t="shared" si="41"/>
        <v>0.115</v>
      </c>
      <c r="X310" s="311">
        <f t="shared" si="41"/>
        <v>0.115</v>
      </c>
      <c r="Y310" s="311">
        <f t="shared" si="41"/>
        <v>0.115</v>
      </c>
      <c r="Z310" s="311">
        <f t="shared" si="41"/>
        <v>0.115</v>
      </c>
      <c r="AA310" s="311">
        <f t="shared" si="41"/>
        <v>0.115</v>
      </c>
      <c r="AB310" s="311">
        <f t="shared" si="41"/>
        <v>0.115</v>
      </c>
      <c r="AC310" s="87"/>
      <c r="AD310" s="87"/>
      <c r="AE310" s="87"/>
      <c r="AF310" s="109">
        <v>1</v>
      </c>
      <c r="AG310" s="109">
        <v>1</v>
      </c>
      <c r="AH310" s="84"/>
      <c r="AI310" s="66"/>
      <c r="AJ310" s="54"/>
      <c r="AK310" s="54"/>
      <c r="AL310" s="54"/>
    </row>
    <row r="311" spans="1:38" hidden="1" outlineLevel="3" x14ac:dyDescent="0.25">
      <c r="A311" s="54"/>
      <c r="B311" s="63"/>
      <c r="C311" s="56">
        <f>INT($C$40)+3</f>
        <v>4</v>
      </c>
      <c r="D311" s="84"/>
      <c r="E311" s="79"/>
      <c r="F311" s="79" t="s">
        <v>1099</v>
      </c>
      <c r="G311" s="84"/>
      <c r="H311" s="87" t="s">
        <v>679</v>
      </c>
      <c r="I311" s="108" t="s">
        <v>623</v>
      </c>
      <c r="J311" s="108"/>
      <c r="K311" s="87"/>
      <c r="L311" s="87"/>
      <c r="M311" s="87"/>
      <c r="N311" s="87"/>
      <c r="O311" s="87"/>
      <c r="P311" s="87"/>
      <c r="Q311" s="87"/>
      <c r="R311" s="87" t="s">
        <v>634</v>
      </c>
      <c r="S311" s="87" t="s">
        <v>634</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1100</v>
      </c>
      <c r="G312" s="84"/>
      <c r="H312" s="87" t="s">
        <v>679</v>
      </c>
      <c r="I312" s="108" t="s">
        <v>623</v>
      </c>
      <c r="J312" s="108"/>
      <c r="K312" s="87"/>
      <c r="L312" s="87"/>
      <c r="M312" s="87"/>
      <c r="N312" s="87"/>
      <c r="O312" s="87"/>
      <c r="P312" s="87"/>
      <c r="Q312" s="87"/>
      <c r="R312" s="87" t="s">
        <v>634</v>
      </c>
      <c r="S312" s="87" t="s">
        <v>634</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25">
      <c r="A313" s="54"/>
      <c r="B313" s="63"/>
      <c r="C313" s="56">
        <f t="shared" si="40"/>
        <v>3</v>
      </c>
      <c r="D313" s="84"/>
      <c r="E313" s="79"/>
      <c r="F313" s="79" t="s">
        <v>1101</v>
      </c>
      <c r="G313" s="84"/>
      <c r="H313" s="87" t="s">
        <v>1102</v>
      </c>
      <c r="I313" s="108" t="s">
        <v>623</v>
      </c>
      <c r="J313" s="108"/>
      <c r="K313" s="109">
        <v>1.0900000000000001</v>
      </c>
      <c r="L313" s="109">
        <v>1.0900000000000001</v>
      </c>
      <c r="M313" s="109">
        <v>1.0900000000000001</v>
      </c>
      <c r="N313" s="109">
        <v>1.0900000000000001</v>
      </c>
      <c r="O313" s="109">
        <v>1.0900000000000001</v>
      </c>
      <c r="P313" s="109">
        <v>1.0900000000000001</v>
      </c>
      <c r="Q313" s="87"/>
      <c r="R313" s="87" t="s">
        <v>634</v>
      </c>
      <c r="S313" s="87" t="s">
        <v>634</v>
      </c>
      <c r="T313" s="87"/>
      <c r="U313" s="311">
        <f t="shared" ref="U313:AB317" si="42">INDEX($K313:$Q313,1,U$54)</f>
        <v>1.0900000000000001</v>
      </c>
      <c r="V313" s="311">
        <f t="shared" si="42"/>
        <v>1.0900000000000001</v>
      </c>
      <c r="W313" s="311">
        <f t="shared" si="42"/>
        <v>1.0900000000000001</v>
      </c>
      <c r="X313" s="311">
        <f t="shared" si="42"/>
        <v>1.0900000000000001</v>
      </c>
      <c r="Y313" s="311">
        <f t="shared" si="42"/>
        <v>1.0900000000000001</v>
      </c>
      <c r="Z313" s="311">
        <f t="shared" si="42"/>
        <v>1.0900000000000001</v>
      </c>
      <c r="AA313" s="311">
        <f t="shared" si="42"/>
        <v>1.0900000000000001</v>
      </c>
      <c r="AB313" s="311">
        <f t="shared" si="42"/>
        <v>1.0900000000000001</v>
      </c>
      <c r="AC313" s="87"/>
      <c r="AD313" s="87"/>
      <c r="AE313" s="87"/>
      <c r="AF313" s="109">
        <v>1</v>
      </c>
      <c r="AG313" s="109">
        <v>1</v>
      </c>
      <c r="AH313" s="84"/>
      <c r="AI313" s="66"/>
      <c r="AJ313" s="54"/>
      <c r="AK313" s="54"/>
      <c r="AL313" s="54"/>
    </row>
    <row r="314" spans="1:38" outlineLevel="2" x14ac:dyDescent="0.25">
      <c r="A314" s="54"/>
      <c r="B314" s="63"/>
      <c r="C314" s="56">
        <f t="shared" si="40"/>
        <v>3</v>
      </c>
      <c r="D314" s="84"/>
      <c r="E314" s="79"/>
      <c r="F314" s="79" t="s">
        <v>1103</v>
      </c>
      <c r="G314" s="84"/>
      <c r="H314" s="87" t="s">
        <v>1104</v>
      </c>
      <c r="I314" s="108" t="s">
        <v>623</v>
      </c>
      <c r="J314" s="108"/>
      <c r="K314" s="109">
        <v>0.21</v>
      </c>
      <c r="L314" s="109">
        <v>0.21</v>
      </c>
      <c r="M314" s="109">
        <v>0.21</v>
      </c>
      <c r="N314" s="109">
        <v>0.21</v>
      </c>
      <c r="O314" s="109">
        <v>0.21</v>
      </c>
      <c r="P314" s="109">
        <v>0.21</v>
      </c>
      <c r="Q314" s="87"/>
      <c r="R314" s="87" t="s">
        <v>1105</v>
      </c>
      <c r="S314" s="87" t="s">
        <v>1106</v>
      </c>
      <c r="T314" s="87"/>
      <c r="U314" s="311">
        <f t="shared" si="42"/>
        <v>0.21</v>
      </c>
      <c r="V314" s="311">
        <f t="shared" si="42"/>
        <v>0.21</v>
      </c>
      <c r="W314" s="311">
        <f t="shared" si="42"/>
        <v>0.21</v>
      </c>
      <c r="X314" s="311">
        <f t="shared" si="42"/>
        <v>0.21</v>
      </c>
      <c r="Y314" s="311">
        <f t="shared" si="42"/>
        <v>0.21</v>
      </c>
      <c r="Z314" s="311">
        <f t="shared" si="42"/>
        <v>0.21</v>
      </c>
      <c r="AA314" s="311">
        <f t="shared" si="42"/>
        <v>0.21</v>
      </c>
      <c r="AB314" s="311">
        <f t="shared" si="42"/>
        <v>0.21</v>
      </c>
      <c r="AC314" s="87"/>
      <c r="AD314" s="87"/>
      <c r="AE314" s="87"/>
      <c r="AF314" s="109">
        <v>1</v>
      </c>
      <c r="AG314" s="109">
        <v>1</v>
      </c>
      <c r="AH314" s="84"/>
      <c r="AI314" s="66"/>
      <c r="AJ314" s="54"/>
      <c r="AK314" s="54"/>
      <c r="AL314" s="54"/>
    </row>
    <row r="315" spans="1:38" outlineLevel="2" x14ac:dyDescent="0.25">
      <c r="A315" s="54"/>
      <c r="B315" s="63"/>
      <c r="C315" s="56">
        <f t="shared" si="40"/>
        <v>3</v>
      </c>
      <c r="D315" s="84"/>
      <c r="E315" s="79"/>
      <c r="F315" s="79" t="s">
        <v>1107</v>
      </c>
      <c r="G315" s="84"/>
      <c r="H315" s="87" t="s">
        <v>1108</v>
      </c>
      <c r="I315" s="108" t="s">
        <v>623</v>
      </c>
      <c r="J315" s="108"/>
      <c r="K315" s="109">
        <v>0.9</v>
      </c>
      <c r="L315" s="109">
        <v>0.9</v>
      </c>
      <c r="M315" s="109">
        <v>0.9</v>
      </c>
      <c r="N315" s="109">
        <v>0.9</v>
      </c>
      <c r="O315" s="109">
        <v>0.9</v>
      </c>
      <c r="P315" s="109">
        <v>0.9</v>
      </c>
      <c r="Q315" s="87"/>
      <c r="R315" s="87" t="s">
        <v>1109</v>
      </c>
      <c r="S315" s="87" t="s">
        <v>1110</v>
      </c>
      <c r="T315" s="87"/>
      <c r="U315" s="311">
        <f t="shared" si="42"/>
        <v>0.9</v>
      </c>
      <c r="V315" s="311">
        <f t="shared" si="42"/>
        <v>0.9</v>
      </c>
      <c r="W315" s="311">
        <f t="shared" si="42"/>
        <v>0.9</v>
      </c>
      <c r="X315" s="311">
        <f t="shared" si="42"/>
        <v>0.9</v>
      </c>
      <c r="Y315" s="311">
        <f t="shared" si="42"/>
        <v>0.9</v>
      </c>
      <c r="Z315" s="311">
        <f t="shared" si="42"/>
        <v>0.9</v>
      </c>
      <c r="AA315" s="311">
        <f t="shared" si="42"/>
        <v>0.9</v>
      </c>
      <c r="AB315" s="311">
        <f t="shared" si="42"/>
        <v>0.9</v>
      </c>
      <c r="AC315" s="87"/>
      <c r="AD315" s="87"/>
      <c r="AE315" s="87"/>
      <c r="AF315" s="109">
        <v>1</v>
      </c>
      <c r="AG315" s="109">
        <v>1</v>
      </c>
      <c r="AH315" s="84"/>
      <c r="AI315" s="66"/>
      <c r="AJ315" s="54"/>
      <c r="AK315" s="54"/>
      <c r="AL315" s="54"/>
    </row>
    <row r="316" spans="1:38" outlineLevel="2" x14ac:dyDescent="0.25">
      <c r="A316" s="54"/>
      <c r="B316" s="63"/>
      <c r="C316" s="56">
        <f t="shared" si="40"/>
        <v>3</v>
      </c>
      <c r="D316" s="84"/>
      <c r="E316" s="79"/>
      <c r="F316" s="79" t="s">
        <v>1111</v>
      </c>
      <c r="G316" s="84"/>
      <c r="H316" s="87" t="s">
        <v>1112</v>
      </c>
      <c r="I316" s="108" t="s">
        <v>623</v>
      </c>
      <c r="J316" s="108"/>
      <c r="K316" s="109">
        <v>23.6</v>
      </c>
      <c r="L316" s="109">
        <v>23.6</v>
      </c>
      <c r="M316" s="109">
        <v>23.6</v>
      </c>
      <c r="N316" s="109">
        <v>23.6</v>
      </c>
      <c r="O316" s="109">
        <v>23.6</v>
      </c>
      <c r="P316" s="109">
        <v>23.6</v>
      </c>
      <c r="Q316" s="87"/>
      <c r="R316" s="87" t="s">
        <v>634</v>
      </c>
      <c r="S316" s="87" t="s">
        <v>634</v>
      </c>
      <c r="T316" s="87"/>
      <c r="U316" s="311">
        <f t="shared" si="42"/>
        <v>23.6</v>
      </c>
      <c r="V316" s="311">
        <f t="shared" si="42"/>
        <v>23.6</v>
      </c>
      <c r="W316" s="311">
        <f t="shared" si="42"/>
        <v>23.6</v>
      </c>
      <c r="X316" s="311">
        <f t="shared" si="42"/>
        <v>23.6</v>
      </c>
      <c r="Y316" s="311">
        <f t="shared" si="42"/>
        <v>23.6</v>
      </c>
      <c r="Z316" s="311">
        <f t="shared" si="42"/>
        <v>23.6</v>
      </c>
      <c r="AA316" s="311">
        <f t="shared" si="42"/>
        <v>23.6</v>
      </c>
      <c r="AB316" s="311">
        <f t="shared" si="42"/>
        <v>23.6</v>
      </c>
      <c r="AC316" s="87"/>
      <c r="AD316" s="87"/>
      <c r="AE316" s="87"/>
      <c r="AF316" s="109">
        <v>1</v>
      </c>
      <c r="AG316" s="109">
        <v>1</v>
      </c>
      <c r="AH316" s="84"/>
      <c r="AI316" s="66"/>
      <c r="AJ316" s="54"/>
      <c r="AK316" s="54"/>
      <c r="AL316" s="54"/>
    </row>
    <row r="317" spans="1:38" outlineLevel="2" x14ac:dyDescent="0.25">
      <c r="A317" s="54"/>
      <c r="B317" s="63"/>
      <c r="C317" s="56">
        <f t="shared" si="40"/>
        <v>3</v>
      </c>
      <c r="D317" s="84"/>
      <c r="E317" s="79"/>
      <c r="F317" s="79" t="s">
        <v>1113</v>
      </c>
      <c r="G317" s="84"/>
      <c r="H317" s="87" t="s">
        <v>1114</v>
      </c>
      <c r="I317" s="108" t="s">
        <v>623</v>
      </c>
      <c r="J317" s="108"/>
      <c r="K317" s="109">
        <v>39.299999999999997</v>
      </c>
      <c r="L317" s="109">
        <v>39.299999999999997</v>
      </c>
      <c r="M317" s="109">
        <v>39.299999999999997</v>
      </c>
      <c r="N317" s="109">
        <v>39.299999999999997</v>
      </c>
      <c r="O317" s="109">
        <v>39.299999999999997</v>
      </c>
      <c r="P317" s="109">
        <v>39.299999999999997</v>
      </c>
      <c r="Q317" s="87"/>
      <c r="R317" s="87" t="s">
        <v>634</v>
      </c>
      <c r="S317" s="87" t="s">
        <v>634</v>
      </c>
      <c r="T317" s="87"/>
      <c r="U317" s="311">
        <f t="shared" si="42"/>
        <v>39.299999999999997</v>
      </c>
      <c r="V317" s="311">
        <f t="shared" si="42"/>
        <v>39.299999999999997</v>
      </c>
      <c r="W317" s="311">
        <f t="shared" si="42"/>
        <v>39.299999999999997</v>
      </c>
      <c r="X317" s="311">
        <f t="shared" si="42"/>
        <v>39.299999999999997</v>
      </c>
      <c r="Y317" s="311">
        <f t="shared" si="42"/>
        <v>39.299999999999997</v>
      </c>
      <c r="Z317" s="311">
        <f t="shared" si="42"/>
        <v>39.299999999999997</v>
      </c>
      <c r="AA317" s="311">
        <f t="shared" si="42"/>
        <v>39.299999999999997</v>
      </c>
      <c r="AB317" s="311">
        <f t="shared" si="42"/>
        <v>39.299999999999997</v>
      </c>
      <c r="AC317" s="87"/>
      <c r="AD317" s="87"/>
      <c r="AE317" s="87"/>
      <c r="AF317" s="109">
        <v>1</v>
      </c>
      <c r="AG317" s="109">
        <v>1</v>
      </c>
      <c r="AH317" s="84"/>
      <c r="AI317" s="66"/>
      <c r="AJ317" s="54"/>
      <c r="AK317" s="54"/>
      <c r="AL317" s="54"/>
    </row>
    <row r="318" spans="1:38" outlineLevel="1" x14ac:dyDescent="0.25">
      <c r="A318" s="54"/>
      <c r="B318" s="63"/>
      <c r="C318" s="56">
        <f>INT($C$40)+1</f>
        <v>2</v>
      </c>
      <c r="D318" s="84"/>
      <c r="E318" s="79"/>
      <c r="F318" s="314" t="s">
        <v>1115</v>
      </c>
      <c r="G318" s="84"/>
      <c r="H318" s="304" t="s">
        <v>1116</v>
      </c>
      <c r="I318" s="108"/>
      <c r="J318" s="108" t="s">
        <v>642</v>
      </c>
      <c r="K318" s="87"/>
      <c r="L318" s="87"/>
      <c r="M318" s="87"/>
      <c r="N318" s="87"/>
      <c r="O318" s="87"/>
      <c r="P318" s="87"/>
      <c r="Q318" s="87"/>
      <c r="R318" s="87"/>
      <c r="S318" s="87"/>
      <c r="T318" s="87"/>
      <c r="U318" s="91">
        <v>6</v>
      </c>
      <c r="V318" s="87"/>
      <c r="W318" s="91">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1117</v>
      </c>
      <c r="F319" s="79" t="s">
        <v>1118</v>
      </c>
      <c r="G319" s="84"/>
      <c r="H319" s="87" t="s">
        <v>616</v>
      </c>
      <c r="I319" s="108"/>
      <c r="J319" s="108"/>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25">
      <c r="A320" s="54"/>
      <c r="B320" s="63"/>
      <c r="C320" s="56">
        <f>INT($C$40)+2</f>
        <v>3</v>
      </c>
      <c r="D320" s="84"/>
      <c r="E320" s="79"/>
      <c r="F320" s="79" t="s">
        <v>1119</v>
      </c>
      <c r="G320" s="84"/>
      <c r="H320" s="87" t="s">
        <v>1120</v>
      </c>
      <c r="I320" s="108" t="s">
        <v>718</v>
      </c>
      <c r="J320" s="108"/>
      <c r="K320" s="109">
        <v>1.84E-2</v>
      </c>
      <c r="L320" s="109">
        <v>1.84E-2</v>
      </c>
      <c r="M320" s="109">
        <v>1.84E-2</v>
      </c>
      <c r="N320" s="109">
        <v>1.84E-2</v>
      </c>
      <c r="O320" s="109">
        <v>1.84E-2</v>
      </c>
      <c r="P320" s="109">
        <v>1.84E-2</v>
      </c>
      <c r="Q320" s="87"/>
      <c r="R320" s="87" t="s">
        <v>1121</v>
      </c>
      <c r="S320" s="87" t="s">
        <v>1121</v>
      </c>
      <c r="T320" s="87"/>
      <c r="U320" s="311">
        <f t="shared" ref="U320:AB324" si="43">INDEX($K320:$Q320,1,U$54)</f>
        <v>1.84E-2</v>
      </c>
      <c r="V320" s="311">
        <f t="shared" si="43"/>
        <v>1.84E-2</v>
      </c>
      <c r="W320" s="311">
        <f t="shared" si="43"/>
        <v>1.84E-2</v>
      </c>
      <c r="X320" s="311">
        <f t="shared" si="43"/>
        <v>1.84E-2</v>
      </c>
      <c r="Y320" s="311">
        <f t="shared" si="43"/>
        <v>1.84E-2</v>
      </c>
      <c r="Z320" s="311">
        <f t="shared" si="43"/>
        <v>1.84E-2</v>
      </c>
      <c r="AA320" s="311">
        <f t="shared" si="43"/>
        <v>1.84E-2</v>
      </c>
      <c r="AB320" s="311">
        <f t="shared" si="43"/>
        <v>1.84E-2</v>
      </c>
      <c r="AC320" s="87"/>
      <c r="AD320" s="87"/>
      <c r="AE320" s="87"/>
      <c r="AF320" s="109">
        <v>1</v>
      </c>
      <c r="AG320" s="109">
        <v>1</v>
      </c>
      <c r="AH320" s="84"/>
      <c r="AI320" s="66"/>
      <c r="AJ320" s="54"/>
      <c r="AK320" s="54"/>
      <c r="AL320" s="54"/>
    </row>
    <row r="321" spans="1:38" outlineLevel="2" x14ac:dyDescent="0.25">
      <c r="A321" s="54"/>
      <c r="B321" s="63"/>
      <c r="C321" s="56">
        <f>INT($C$40)+2</f>
        <v>3</v>
      </c>
      <c r="D321" s="84"/>
      <c r="E321" s="79"/>
      <c r="F321" s="79" t="s">
        <v>1122</v>
      </c>
      <c r="G321" s="84"/>
      <c r="H321" s="87" t="s">
        <v>1123</v>
      </c>
      <c r="I321" s="108" t="s">
        <v>623</v>
      </c>
      <c r="J321" s="108"/>
      <c r="K321" s="109">
        <v>13</v>
      </c>
      <c r="L321" s="109">
        <v>13</v>
      </c>
      <c r="M321" s="109">
        <v>13</v>
      </c>
      <c r="N321" s="109">
        <v>13</v>
      </c>
      <c r="O321" s="109">
        <v>13</v>
      </c>
      <c r="P321" s="109">
        <v>13</v>
      </c>
      <c r="Q321" s="87"/>
      <c r="R321" s="87" t="s">
        <v>1121</v>
      </c>
      <c r="S321" s="87" t="s">
        <v>1121</v>
      </c>
      <c r="T321" s="87"/>
      <c r="U321" s="311">
        <f t="shared" si="43"/>
        <v>13</v>
      </c>
      <c r="V321" s="311">
        <f t="shared" si="43"/>
        <v>13</v>
      </c>
      <c r="W321" s="311">
        <f t="shared" si="43"/>
        <v>13</v>
      </c>
      <c r="X321" s="311">
        <f t="shared" si="43"/>
        <v>13</v>
      </c>
      <c r="Y321" s="311">
        <f t="shared" si="43"/>
        <v>13</v>
      </c>
      <c r="Z321" s="311">
        <f t="shared" si="43"/>
        <v>13</v>
      </c>
      <c r="AA321" s="311">
        <f t="shared" si="43"/>
        <v>13</v>
      </c>
      <c r="AB321" s="311">
        <f t="shared" si="43"/>
        <v>13</v>
      </c>
      <c r="AC321" s="87"/>
      <c r="AD321" s="87"/>
      <c r="AE321" s="87"/>
      <c r="AF321" s="109">
        <v>1</v>
      </c>
      <c r="AG321" s="109">
        <v>1</v>
      </c>
      <c r="AH321" s="84"/>
      <c r="AI321" s="66"/>
      <c r="AJ321" s="54"/>
      <c r="AK321" s="54"/>
      <c r="AL321" s="54"/>
    </row>
    <row r="322" spans="1:38" outlineLevel="2" x14ac:dyDescent="0.25">
      <c r="A322" s="54"/>
      <c r="B322" s="63"/>
      <c r="C322" s="56">
        <f>INT($C$40)+2</f>
        <v>3</v>
      </c>
      <c r="D322" s="84"/>
      <c r="E322" s="79"/>
      <c r="F322" s="79" t="s">
        <v>1124</v>
      </c>
      <c r="G322" s="84"/>
      <c r="H322" s="87" t="s">
        <v>1123</v>
      </c>
      <c r="I322" s="108" t="s">
        <v>750</v>
      </c>
      <c r="J322" s="108"/>
      <c r="K322" s="109">
        <v>7.52</v>
      </c>
      <c r="L322" s="109">
        <v>7.52</v>
      </c>
      <c r="M322" s="109">
        <v>7.52</v>
      </c>
      <c r="N322" s="109">
        <v>7.52</v>
      </c>
      <c r="O322" s="109">
        <v>7.52</v>
      </c>
      <c r="P322" s="109">
        <v>7.52</v>
      </c>
      <c r="Q322" s="87"/>
      <c r="R322" s="87" t="s">
        <v>1121</v>
      </c>
      <c r="S322" s="87" t="s">
        <v>1121</v>
      </c>
      <c r="T322" s="87"/>
      <c r="U322" s="311">
        <f t="shared" si="43"/>
        <v>7.52</v>
      </c>
      <c r="V322" s="311">
        <f t="shared" si="43"/>
        <v>7.52</v>
      </c>
      <c r="W322" s="311">
        <f t="shared" si="43"/>
        <v>7.52</v>
      </c>
      <c r="X322" s="311">
        <f t="shared" si="43"/>
        <v>7.52</v>
      </c>
      <c r="Y322" s="311">
        <f t="shared" si="43"/>
        <v>7.52</v>
      </c>
      <c r="Z322" s="311">
        <f t="shared" si="43"/>
        <v>7.52</v>
      </c>
      <c r="AA322" s="311">
        <f t="shared" si="43"/>
        <v>7.52</v>
      </c>
      <c r="AB322" s="311">
        <f t="shared" si="43"/>
        <v>7.52</v>
      </c>
      <c r="AC322" s="87"/>
      <c r="AD322" s="87"/>
      <c r="AE322" s="87"/>
      <c r="AF322" s="109">
        <v>1</v>
      </c>
      <c r="AG322" s="109">
        <v>1</v>
      </c>
      <c r="AH322" s="84"/>
      <c r="AI322" s="66"/>
      <c r="AJ322" s="54"/>
      <c r="AK322" s="54"/>
      <c r="AL322" s="54"/>
    </row>
    <row r="323" spans="1:38" outlineLevel="2" x14ac:dyDescent="0.25">
      <c r="A323" s="54"/>
      <c r="B323" s="63"/>
      <c r="C323" s="56">
        <f>INT($C$40)+2</f>
        <v>3</v>
      </c>
      <c r="D323" s="84"/>
      <c r="E323" s="79"/>
      <c r="F323" s="79" t="s">
        <v>1125</v>
      </c>
      <c r="G323" s="84"/>
      <c r="H323" s="87" t="s">
        <v>1123</v>
      </c>
      <c r="I323" s="108" t="s">
        <v>623</v>
      </c>
      <c r="J323" s="108"/>
      <c r="K323" s="109">
        <v>23.7</v>
      </c>
      <c r="L323" s="109">
        <v>23.7</v>
      </c>
      <c r="M323" s="109">
        <v>23.7</v>
      </c>
      <c r="N323" s="109">
        <v>23.7</v>
      </c>
      <c r="O323" s="109">
        <v>23.7</v>
      </c>
      <c r="P323" s="109">
        <v>23.7</v>
      </c>
      <c r="Q323" s="87"/>
      <c r="R323" s="87" t="s">
        <v>1121</v>
      </c>
      <c r="S323" s="87" t="s">
        <v>1121</v>
      </c>
      <c r="T323" s="87"/>
      <c r="U323" s="311">
        <f t="shared" si="43"/>
        <v>23.7</v>
      </c>
      <c r="V323" s="311">
        <f t="shared" si="43"/>
        <v>23.7</v>
      </c>
      <c r="W323" s="311">
        <f t="shared" si="43"/>
        <v>23.7</v>
      </c>
      <c r="X323" s="311">
        <f t="shared" si="43"/>
        <v>23.7</v>
      </c>
      <c r="Y323" s="311">
        <f t="shared" si="43"/>
        <v>23.7</v>
      </c>
      <c r="Z323" s="311">
        <f t="shared" si="43"/>
        <v>23.7</v>
      </c>
      <c r="AA323" s="311">
        <f t="shared" si="43"/>
        <v>23.7</v>
      </c>
      <c r="AB323" s="311">
        <f t="shared" si="43"/>
        <v>23.7</v>
      </c>
      <c r="AC323" s="87"/>
      <c r="AD323" s="87"/>
      <c r="AE323" s="87"/>
      <c r="AF323" s="109">
        <v>1</v>
      </c>
      <c r="AG323" s="109">
        <v>1</v>
      </c>
      <c r="AH323" s="84"/>
      <c r="AI323" s="66"/>
      <c r="AJ323" s="54"/>
      <c r="AK323" s="54"/>
      <c r="AL323" s="54"/>
    </row>
    <row r="324" spans="1:38" outlineLevel="2" x14ac:dyDescent="0.25">
      <c r="A324" s="54"/>
      <c r="B324" s="63"/>
      <c r="C324" s="56">
        <f>INT($C$40)+2</f>
        <v>3</v>
      </c>
      <c r="D324" s="84"/>
      <c r="E324" s="79"/>
      <c r="F324" s="79" t="s">
        <v>1126</v>
      </c>
      <c r="G324" s="84"/>
      <c r="H324" s="87" t="s">
        <v>1123</v>
      </c>
      <c r="I324" s="108" t="s">
        <v>750</v>
      </c>
      <c r="J324" s="108"/>
      <c r="K324" s="109">
        <v>3.36</v>
      </c>
      <c r="L324" s="109">
        <v>3.36</v>
      </c>
      <c r="M324" s="109">
        <v>3.36</v>
      </c>
      <c r="N324" s="109">
        <v>3.36</v>
      </c>
      <c r="O324" s="109">
        <v>3.36</v>
      </c>
      <c r="P324" s="109">
        <v>3.36</v>
      </c>
      <c r="Q324" s="87"/>
      <c r="R324" s="87" t="s">
        <v>1121</v>
      </c>
      <c r="S324" s="87" t="s">
        <v>1121</v>
      </c>
      <c r="T324" s="87"/>
      <c r="U324" s="311">
        <f t="shared" si="43"/>
        <v>3.36</v>
      </c>
      <c r="V324" s="311">
        <f t="shared" si="43"/>
        <v>3.36</v>
      </c>
      <c r="W324" s="311">
        <f t="shared" si="43"/>
        <v>3.36</v>
      </c>
      <c r="X324" s="311">
        <f t="shared" si="43"/>
        <v>3.36</v>
      </c>
      <c r="Y324" s="311">
        <f t="shared" si="43"/>
        <v>3.36</v>
      </c>
      <c r="Z324" s="311">
        <f t="shared" si="43"/>
        <v>3.36</v>
      </c>
      <c r="AA324" s="311">
        <f t="shared" si="43"/>
        <v>3.36</v>
      </c>
      <c r="AB324" s="311">
        <f t="shared" si="43"/>
        <v>3.36</v>
      </c>
      <c r="AC324" s="87"/>
      <c r="AD324" s="87"/>
      <c r="AE324" s="87"/>
      <c r="AF324" s="109">
        <v>1</v>
      </c>
      <c r="AG324" s="109">
        <v>1</v>
      </c>
      <c r="AH324" s="84"/>
      <c r="AI324" s="66"/>
      <c r="AJ324" s="54"/>
      <c r="AK324" s="54"/>
      <c r="AL324" s="54"/>
    </row>
    <row r="325" spans="1:38" outlineLevel="1" x14ac:dyDescent="0.25">
      <c r="A325" s="54"/>
      <c r="B325" s="63"/>
      <c r="C325" s="56">
        <f>INT($C$40)+1</f>
        <v>2</v>
      </c>
      <c r="D325" s="84"/>
      <c r="E325" s="79"/>
      <c r="F325" s="314" t="s">
        <v>511</v>
      </c>
      <c r="G325" s="84"/>
      <c r="H325" s="304" t="s">
        <v>1127</v>
      </c>
      <c r="I325" s="108"/>
      <c r="J325" s="108" t="s">
        <v>642</v>
      </c>
      <c r="K325" s="87"/>
      <c r="L325" s="87"/>
      <c r="M325" s="87"/>
      <c r="N325" s="87"/>
      <c r="O325" s="87"/>
      <c r="P325" s="87"/>
      <c r="Q325" s="87"/>
      <c r="R325" s="87"/>
      <c r="S325" s="87"/>
      <c r="T325" s="87"/>
      <c r="U325" s="91">
        <v>6</v>
      </c>
      <c r="V325" s="87"/>
      <c r="W325" s="91">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1128</v>
      </c>
      <c r="F326" s="79" t="s">
        <v>1129</v>
      </c>
      <c r="G326" s="84"/>
      <c r="H326" s="87" t="s">
        <v>616</v>
      </c>
      <c r="I326" s="108"/>
      <c r="J326" s="108"/>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1130</v>
      </c>
      <c r="G327" s="84"/>
      <c r="H327" s="87" t="s">
        <v>1131</v>
      </c>
      <c r="I327" s="108" t="s">
        <v>623</v>
      </c>
      <c r="J327" s="108"/>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1132</v>
      </c>
      <c r="G328" s="84"/>
      <c r="H328" s="87" t="s">
        <v>1133</v>
      </c>
      <c r="I328" s="108" t="s">
        <v>623</v>
      </c>
      <c r="J328" s="108"/>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1134</v>
      </c>
      <c r="G329" s="84"/>
      <c r="H329" s="87" t="s">
        <v>1135</v>
      </c>
      <c r="I329" s="108" t="s">
        <v>623</v>
      </c>
      <c r="J329" s="108"/>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25">
      <c r="A330" s="54"/>
      <c r="B330" s="63"/>
      <c r="C330" s="56">
        <f t="shared" ref="C330:C336" si="44">INT($C$40)+2</f>
        <v>3</v>
      </c>
      <c r="D330" s="84"/>
      <c r="E330" s="79"/>
      <c r="F330" s="79" t="s">
        <v>1136</v>
      </c>
      <c r="G330" s="84"/>
      <c r="H330" s="87" t="s">
        <v>1137</v>
      </c>
      <c r="I330" s="108" t="s">
        <v>654</v>
      </c>
      <c r="J330" s="108"/>
      <c r="K330" s="109">
        <v>17</v>
      </c>
      <c r="L330" s="109">
        <v>17</v>
      </c>
      <c r="M330" s="109">
        <v>21</v>
      </c>
      <c r="N330" s="109">
        <v>21</v>
      </c>
      <c r="O330" s="109">
        <v>21</v>
      </c>
      <c r="P330" s="109">
        <v>21</v>
      </c>
      <c r="Q330" s="87"/>
      <c r="R330" s="87"/>
      <c r="S330" s="87"/>
      <c r="T330" s="87"/>
      <c r="U330" s="311">
        <f t="shared" ref="U330:AB330" si="45">INDEX($K330:$Q330,1,U$54)</f>
        <v>17</v>
      </c>
      <c r="V330" s="311">
        <f t="shared" si="45"/>
        <v>17</v>
      </c>
      <c r="W330" s="311">
        <f t="shared" si="45"/>
        <v>17</v>
      </c>
      <c r="X330" s="311">
        <f t="shared" si="45"/>
        <v>17</v>
      </c>
      <c r="Y330" s="311">
        <f t="shared" si="45"/>
        <v>17</v>
      </c>
      <c r="Z330" s="311">
        <f t="shared" si="45"/>
        <v>17</v>
      </c>
      <c r="AA330" s="311">
        <f t="shared" si="45"/>
        <v>17</v>
      </c>
      <c r="AB330" s="311">
        <f t="shared" si="45"/>
        <v>17</v>
      </c>
      <c r="AC330" s="87"/>
      <c r="AD330" s="87"/>
      <c r="AE330" s="87"/>
      <c r="AF330" s="87">
        <v>1</v>
      </c>
      <c r="AG330" s="87">
        <v>1</v>
      </c>
      <c r="AH330" s="84"/>
      <c r="AI330" s="66"/>
      <c r="AJ330" s="54"/>
      <c r="AK330" s="54"/>
      <c r="AL330" s="54"/>
    </row>
    <row r="331" spans="1:38" outlineLevel="2" x14ac:dyDescent="0.25">
      <c r="A331" s="54"/>
      <c r="B331" s="63"/>
      <c r="C331" s="56">
        <f t="shared" si="44"/>
        <v>3</v>
      </c>
      <c r="D331" s="84"/>
      <c r="E331" s="79"/>
      <c r="F331" s="79" t="s">
        <v>1138</v>
      </c>
      <c r="G331" s="84"/>
      <c r="H331" s="87" t="s">
        <v>1139</v>
      </c>
      <c r="I331" s="108" t="s">
        <v>697</v>
      </c>
      <c r="J331" s="108"/>
      <c r="K331" s="87"/>
      <c r="L331" s="87"/>
      <c r="M331" s="87"/>
      <c r="N331" s="87"/>
      <c r="O331" s="87"/>
      <c r="P331" s="87"/>
      <c r="Q331" s="87"/>
      <c r="R331" s="87"/>
      <c r="S331" s="87"/>
      <c r="T331" s="87"/>
      <c r="U331" s="109">
        <v>0.02</v>
      </c>
      <c r="V331" s="109">
        <v>0.02</v>
      </c>
      <c r="W331" s="109">
        <v>0.02</v>
      </c>
      <c r="X331" s="109">
        <v>0.02</v>
      </c>
      <c r="Y331" s="109">
        <v>0.02</v>
      </c>
      <c r="Z331" s="109">
        <v>0.02</v>
      </c>
      <c r="AA331" s="109">
        <v>0.02</v>
      </c>
      <c r="AB331" s="109">
        <v>0.02</v>
      </c>
      <c r="AC331" s="87"/>
      <c r="AD331" s="109" t="s">
        <v>570</v>
      </c>
      <c r="AE331" s="87"/>
      <c r="AF331" s="109">
        <v>1</v>
      </c>
      <c r="AG331" s="109">
        <v>1</v>
      </c>
      <c r="AH331" s="84"/>
      <c r="AI331" s="66"/>
      <c r="AJ331" s="54"/>
      <c r="AK331" s="54"/>
      <c r="AL331" s="54"/>
    </row>
    <row r="332" spans="1:38" outlineLevel="1" x14ac:dyDescent="0.25">
      <c r="A332" s="54"/>
      <c r="B332" s="63"/>
      <c r="C332" s="56">
        <f>INT($C$40)+1</f>
        <v>2</v>
      </c>
      <c r="D332" s="84"/>
      <c r="E332" s="79"/>
      <c r="F332" s="314" t="s">
        <v>1140</v>
      </c>
      <c r="G332" s="84"/>
      <c r="H332" s="304" t="s">
        <v>1141</v>
      </c>
      <c r="I332" s="108"/>
      <c r="J332" s="108" t="s">
        <v>642</v>
      </c>
      <c r="K332" s="87"/>
      <c r="L332" s="87"/>
      <c r="M332" s="87"/>
      <c r="N332" s="87"/>
      <c r="O332" s="87"/>
      <c r="P332" s="87"/>
      <c r="Q332" s="87"/>
      <c r="R332" s="87"/>
      <c r="S332" s="87"/>
      <c r="T332" s="87"/>
      <c r="U332" s="91">
        <v>22</v>
      </c>
      <c r="V332" s="87"/>
      <c r="W332" s="91">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1142</v>
      </c>
      <c r="F333" s="79" t="s">
        <v>1143</v>
      </c>
      <c r="G333" s="84"/>
      <c r="H333" s="87" t="s">
        <v>616</v>
      </c>
      <c r="I333" s="108"/>
      <c r="J333" s="108"/>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4"/>
        <v>3</v>
      </c>
      <c r="D334" s="84"/>
      <c r="E334" s="79"/>
      <c r="F334" s="79" t="s">
        <v>1144</v>
      </c>
      <c r="G334" s="84"/>
      <c r="H334" s="87" t="s">
        <v>1145</v>
      </c>
      <c r="I334" s="108" t="s">
        <v>697</v>
      </c>
      <c r="J334" s="108"/>
      <c r="K334" s="319">
        <v>5.5300000000000002E-5</v>
      </c>
      <c r="L334" s="319">
        <v>5.5300000000000002E-5</v>
      </c>
      <c r="M334" s="319">
        <v>5.5300000000000002E-5</v>
      </c>
      <c r="N334" s="319">
        <v>5.5300000000000002E-5</v>
      </c>
      <c r="O334" s="319">
        <v>5.5300000000000002E-5</v>
      </c>
      <c r="P334" s="319">
        <v>5.5300000000000002E-5</v>
      </c>
      <c r="Q334" s="87"/>
      <c r="R334" s="87" t="s">
        <v>673</v>
      </c>
      <c r="S334" s="87" t="s">
        <v>673</v>
      </c>
      <c r="T334" s="87"/>
      <c r="U334" s="311">
        <f t="shared" ref="U334:AB336" si="46">INDEX($K334:$Q334,1,U$54)</f>
        <v>5.5300000000000002E-5</v>
      </c>
      <c r="V334" s="311">
        <f t="shared" si="46"/>
        <v>5.5300000000000002E-5</v>
      </c>
      <c r="W334" s="311">
        <f t="shared" si="46"/>
        <v>5.5300000000000002E-5</v>
      </c>
      <c r="X334" s="311">
        <f t="shared" si="46"/>
        <v>5.5300000000000002E-5</v>
      </c>
      <c r="Y334" s="311">
        <f t="shared" si="46"/>
        <v>5.5300000000000002E-5</v>
      </c>
      <c r="Z334" s="311">
        <f t="shared" si="46"/>
        <v>5.5300000000000002E-5</v>
      </c>
      <c r="AA334" s="311">
        <f t="shared" si="46"/>
        <v>5.5300000000000002E-5</v>
      </c>
      <c r="AB334" s="311">
        <f t="shared" si="46"/>
        <v>5.5300000000000002E-5</v>
      </c>
      <c r="AC334" s="87"/>
      <c r="AD334" s="87"/>
      <c r="AE334" s="87"/>
      <c r="AF334" s="109">
        <v>1</v>
      </c>
      <c r="AG334" s="109">
        <v>1</v>
      </c>
      <c r="AH334" s="84"/>
      <c r="AI334" s="66"/>
      <c r="AJ334" s="54"/>
      <c r="AK334" s="54"/>
      <c r="AL334" s="54"/>
    </row>
    <row r="335" spans="1:38" outlineLevel="2" x14ac:dyDescent="0.25">
      <c r="A335" s="54"/>
      <c r="B335" s="63"/>
      <c r="C335" s="56">
        <f t="shared" si="44"/>
        <v>3</v>
      </c>
      <c r="D335" s="84"/>
      <c r="E335" s="79"/>
      <c r="F335" s="79" t="s">
        <v>1146</v>
      </c>
      <c r="G335" s="84"/>
      <c r="H335" s="320" t="s">
        <v>1147</v>
      </c>
      <c r="I335" s="108" t="s">
        <v>623</v>
      </c>
      <c r="J335" s="108"/>
      <c r="K335" s="321">
        <v>0.05</v>
      </c>
      <c r="L335" s="321">
        <v>0.05</v>
      </c>
      <c r="M335" s="109">
        <v>0.3</v>
      </c>
      <c r="N335" s="109">
        <v>0.3</v>
      </c>
      <c r="O335" s="109">
        <v>0.3</v>
      </c>
      <c r="P335" s="109">
        <v>0.3</v>
      </c>
      <c r="Q335" s="87"/>
      <c r="R335" s="87" t="s">
        <v>1148</v>
      </c>
      <c r="S335" s="87" t="s">
        <v>673</v>
      </c>
      <c r="T335" s="87"/>
      <c r="U335" s="311">
        <f t="shared" si="46"/>
        <v>0.05</v>
      </c>
      <c r="V335" s="311">
        <f t="shared" si="46"/>
        <v>0.05</v>
      </c>
      <c r="W335" s="311">
        <f t="shared" si="46"/>
        <v>0.05</v>
      </c>
      <c r="X335" s="311">
        <f t="shared" si="46"/>
        <v>0.05</v>
      </c>
      <c r="Y335" s="311">
        <f t="shared" si="46"/>
        <v>0.05</v>
      </c>
      <c r="Z335" s="311">
        <f t="shared" si="46"/>
        <v>0.05</v>
      </c>
      <c r="AA335" s="311">
        <f t="shared" si="46"/>
        <v>0.05</v>
      </c>
      <c r="AB335" s="311">
        <f t="shared" si="46"/>
        <v>0.05</v>
      </c>
      <c r="AC335" s="87"/>
      <c r="AD335" s="87"/>
      <c r="AE335" s="87"/>
      <c r="AF335" s="109">
        <v>1</v>
      </c>
      <c r="AG335" s="109">
        <v>1</v>
      </c>
      <c r="AH335" s="84"/>
      <c r="AI335" s="66"/>
      <c r="AJ335" s="54"/>
      <c r="AK335" s="54"/>
      <c r="AL335" s="54"/>
    </row>
    <row r="336" spans="1:38" outlineLevel="2" collapsed="1" x14ac:dyDescent="0.25">
      <c r="A336" s="54"/>
      <c r="B336" s="63"/>
      <c r="C336" s="56">
        <f t="shared" si="44"/>
        <v>3</v>
      </c>
      <c r="D336" s="84"/>
      <c r="E336" s="79"/>
      <c r="F336" s="79" t="s">
        <v>1149</v>
      </c>
      <c r="G336" s="84"/>
      <c r="H336" s="87" t="s">
        <v>1150</v>
      </c>
      <c r="I336" s="108" t="s">
        <v>623</v>
      </c>
      <c r="J336" s="108"/>
      <c r="K336" s="109">
        <v>0.6</v>
      </c>
      <c r="L336" s="109">
        <v>0.6</v>
      </c>
      <c r="M336" s="109">
        <v>0.6</v>
      </c>
      <c r="N336" s="109">
        <v>0.6</v>
      </c>
      <c r="O336" s="109">
        <v>0.6</v>
      </c>
      <c r="P336" s="109">
        <v>0.6</v>
      </c>
      <c r="Q336" s="87"/>
      <c r="R336" s="87" t="s">
        <v>673</v>
      </c>
      <c r="S336" s="87" t="s">
        <v>673</v>
      </c>
      <c r="T336" s="87"/>
      <c r="U336" s="311">
        <f t="shared" si="46"/>
        <v>0.6</v>
      </c>
      <c r="V336" s="311">
        <f t="shared" si="46"/>
        <v>0.6</v>
      </c>
      <c r="W336" s="311">
        <f t="shared" si="46"/>
        <v>0.6</v>
      </c>
      <c r="X336" s="311">
        <f t="shared" si="46"/>
        <v>0.6</v>
      </c>
      <c r="Y336" s="311">
        <f t="shared" si="46"/>
        <v>0.6</v>
      </c>
      <c r="Z336" s="311">
        <f t="shared" si="46"/>
        <v>0.6</v>
      </c>
      <c r="AA336" s="311">
        <f t="shared" si="46"/>
        <v>0.6</v>
      </c>
      <c r="AB336" s="311">
        <f t="shared" si="46"/>
        <v>0.6</v>
      </c>
      <c r="AC336" s="87"/>
      <c r="AD336" s="87"/>
      <c r="AE336" s="87"/>
      <c r="AF336" s="109">
        <v>1</v>
      </c>
      <c r="AG336" s="109">
        <v>1</v>
      </c>
      <c r="AH336" s="84"/>
      <c r="AI336" s="66"/>
      <c r="AJ336" s="54"/>
      <c r="AK336" s="54"/>
      <c r="AL336" s="54"/>
    </row>
    <row r="337" spans="1:38" hidden="1" outlineLevel="3" x14ac:dyDescent="0.25">
      <c r="A337" s="54"/>
      <c r="B337" s="63"/>
      <c r="C337" s="56">
        <f>INT($C$40)+3</f>
        <v>4</v>
      </c>
      <c r="D337" s="84"/>
      <c r="E337" s="79"/>
      <c r="F337" s="79" t="s">
        <v>1151</v>
      </c>
      <c r="G337" s="84"/>
      <c r="H337" s="87" t="s">
        <v>1152</v>
      </c>
      <c r="I337" s="108" t="s">
        <v>623</v>
      </c>
      <c r="J337" s="108"/>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1153</v>
      </c>
      <c r="G338" s="84"/>
      <c r="H338" s="87" t="s">
        <v>1154</v>
      </c>
      <c r="I338" s="108" t="s">
        <v>623</v>
      </c>
      <c r="J338" s="108"/>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1155</v>
      </c>
      <c r="G339" s="84"/>
      <c r="H339" s="87" t="s">
        <v>1156</v>
      </c>
      <c r="I339" s="108" t="s">
        <v>623</v>
      </c>
      <c r="J339" s="108"/>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1157</v>
      </c>
      <c r="G340" s="84"/>
      <c r="H340" s="87" t="s">
        <v>1158</v>
      </c>
      <c r="I340" s="108" t="s">
        <v>623</v>
      </c>
      <c r="J340" s="108"/>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1159</v>
      </c>
      <c r="G341" s="84"/>
      <c r="H341" s="87" t="s">
        <v>1160</v>
      </c>
      <c r="I341" s="108" t="s">
        <v>623</v>
      </c>
      <c r="J341" s="108"/>
      <c r="K341" s="87"/>
      <c r="L341" s="87"/>
      <c r="M341" s="109">
        <v>-40</v>
      </c>
      <c r="N341" s="109">
        <v>-40</v>
      </c>
      <c r="O341" s="109">
        <v>-40</v>
      </c>
      <c r="P341" s="109">
        <v>-40</v>
      </c>
      <c r="Q341" s="87"/>
      <c r="R341" s="87"/>
      <c r="S341" s="87" t="s">
        <v>682</v>
      </c>
      <c r="T341" s="87"/>
      <c r="U341" s="109">
        <v>-9.9499999999999993</v>
      </c>
      <c r="V341" s="109">
        <v>-9.9499999999999993</v>
      </c>
      <c r="W341" s="109">
        <v>-9.9499999999999993</v>
      </c>
      <c r="X341" s="109">
        <v>-8.9</v>
      </c>
      <c r="Y341" s="109">
        <v>-8.9</v>
      </c>
      <c r="Z341" s="109">
        <v>-8.9</v>
      </c>
      <c r="AA341" s="109">
        <v>-8.9</v>
      </c>
      <c r="AB341" s="109">
        <v>-8.9</v>
      </c>
      <c r="AC341" s="87"/>
      <c r="AD341" s="109" t="s">
        <v>1161</v>
      </c>
      <c r="AE341" s="87"/>
      <c r="AF341" s="109">
        <v>1</v>
      </c>
      <c r="AG341" s="109">
        <v>1</v>
      </c>
      <c r="AH341" s="84"/>
      <c r="AI341" s="66"/>
      <c r="AJ341" s="54"/>
      <c r="AK341" s="54"/>
      <c r="AL341" s="54"/>
    </row>
    <row r="342" spans="1:38" outlineLevel="2" x14ac:dyDescent="0.25">
      <c r="A342" s="54"/>
      <c r="B342" s="63"/>
      <c r="C342" s="56">
        <f>INT($C$40)+2</f>
        <v>3</v>
      </c>
      <c r="D342" s="84"/>
      <c r="E342" s="79"/>
      <c r="F342" s="79" t="s">
        <v>1162</v>
      </c>
      <c r="G342" s="84"/>
      <c r="H342" s="87" t="s">
        <v>1163</v>
      </c>
      <c r="I342" s="108" t="s">
        <v>623</v>
      </c>
      <c r="J342" s="108"/>
      <c r="K342" s="87"/>
      <c r="L342" s="87"/>
      <c r="M342" s="109">
        <v>0</v>
      </c>
      <c r="N342" s="109">
        <v>0</v>
      </c>
      <c r="O342" s="109">
        <v>0</v>
      </c>
      <c r="P342" s="109">
        <v>0</v>
      </c>
      <c r="Q342" s="87"/>
      <c r="R342" s="87"/>
      <c r="S342" s="87"/>
      <c r="T342" s="87"/>
      <c r="U342" s="109">
        <v>1.71</v>
      </c>
      <c r="V342" s="109">
        <v>1.71</v>
      </c>
      <c r="W342" s="109">
        <v>1.71</v>
      </c>
      <c r="X342" s="109">
        <v>1.49</v>
      </c>
      <c r="Y342" s="109">
        <v>1.49</v>
      </c>
      <c r="Z342" s="109">
        <v>1.49</v>
      </c>
      <c r="AA342" s="109">
        <v>1.49</v>
      </c>
      <c r="AB342" s="109">
        <v>1.49</v>
      </c>
      <c r="AC342" s="87"/>
      <c r="AD342" s="109" t="s">
        <v>1161</v>
      </c>
      <c r="AE342" s="87"/>
      <c r="AF342" s="109">
        <v>1</v>
      </c>
      <c r="AG342" s="109">
        <v>1</v>
      </c>
      <c r="AH342" s="84"/>
      <c r="AI342" s="66"/>
      <c r="AJ342" s="54"/>
      <c r="AK342" s="54"/>
      <c r="AL342" s="54"/>
    </row>
    <row r="343" spans="1:38" outlineLevel="2" collapsed="1" x14ac:dyDescent="0.25">
      <c r="A343" s="54"/>
      <c r="B343" s="63"/>
      <c r="C343" s="56">
        <f>INT($C$40)+2</f>
        <v>3</v>
      </c>
      <c r="D343" s="84"/>
      <c r="E343" s="79"/>
      <c r="F343" s="79" t="s">
        <v>1164</v>
      </c>
      <c r="G343" s="84"/>
      <c r="H343" s="87" t="s">
        <v>1165</v>
      </c>
      <c r="I343" s="108" t="s">
        <v>623</v>
      </c>
      <c r="J343" s="108"/>
      <c r="K343" s="87"/>
      <c r="L343" s="87"/>
      <c r="M343" s="109">
        <v>0</v>
      </c>
      <c r="N343" s="109">
        <v>0</v>
      </c>
      <c r="O343" s="109">
        <v>0</v>
      </c>
      <c r="P343" s="109">
        <v>0</v>
      </c>
      <c r="Q343" s="87"/>
      <c r="R343" s="87"/>
      <c r="S343" s="87"/>
      <c r="T343" s="87"/>
      <c r="U343" s="109">
        <v>9.7999999999999997E-3</v>
      </c>
      <c r="V343" s="109">
        <v>9.7999999999999997E-3</v>
      </c>
      <c r="W343" s="109">
        <v>9.7999999999999997E-3</v>
      </c>
      <c r="X343" s="109">
        <v>8.0999999999999996E-3</v>
      </c>
      <c r="Y343" s="109">
        <v>8.0999999999999996E-3</v>
      </c>
      <c r="Z343" s="109">
        <v>8.0999999999999996E-3</v>
      </c>
      <c r="AA343" s="109">
        <v>8.0999999999999996E-3</v>
      </c>
      <c r="AB343" s="109">
        <v>8.0999999999999996E-3</v>
      </c>
      <c r="AC343" s="87"/>
      <c r="AD343" s="109" t="s">
        <v>1161</v>
      </c>
      <c r="AE343" s="87"/>
      <c r="AF343" s="109">
        <v>1</v>
      </c>
      <c r="AG343" s="109">
        <v>1</v>
      </c>
      <c r="AH343" s="84"/>
      <c r="AI343" s="66"/>
      <c r="AJ343" s="54"/>
      <c r="AK343" s="54"/>
      <c r="AL343" s="54"/>
    </row>
    <row r="344" spans="1:38" hidden="1" outlineLevel="3" x14ac:dyDescent="0.25">
      <c r="A344" s="54"/>
      <c r="B344" s="63"/>
      <c r="C344" s="56">
        <f>INT($C$40)+3</f>
        <v>4</v>
      </c>
      <c r="D344" s="84"/>
      <c r="E344" s="79"/>
      <c r="F344" s="79" t="s">
        <v>1166</v>
      </c>
      <c r="G344" s="84"/>
      <c r="H344" s="87" t="s">
        <v>1167</v>
      </c>
      <c r="I344" s="108"/>
      <c r="J344" s="108"/>
      <c r="K344" s="87"/>
      <c r="L344" s="87"/>
      <c r="M344" s="87"/>
      <c r="N344" s="87"/>
      <c r="O344" s="87"/>
      <c r="P344" s="87"/>
      <c r="Q344" s="87"/>
      <c r="R344" s="87"/>
      <c r="S344" s="87"/>
      <c r="T344" s="87"/>
      <c r="U344" s="87"/>
      <c r="V344" s="87"/>
      <c r="W344" s="87"/>
      <c r="X344" s="87"/>
      <c r="Y344" s="87"/>
      <c r="Z344" s="87"/>
      <c r="AA344" s="87"/>
      <c r="AB344" s="87"/>
      <c r="AC344" s="87"/>
      <c r="AD344" s="87"/>
      <c r="AE344" s="87"/>
      <c r="AF344" s="109">
        <v>1</v>
      </c>
      <c r="AG344" s="109">
        <v>1</v>
      </c>
      <c r="AH344" s="84"/>
      <c r="AI344" s="66"/>
      <c r="AJ344" s="54"/>
      <c r="AK344" s="54"/>
      <c r="AL344" s="54"/>
    </row>
    <row r="345" spans="1:38" outlineLevel="2" x14ac:dyDescent="0.25">
      <c r="A345" s="54"/>
      <c r="B345" s="63"/>
      <c r="C345" s="56">
        <f t="shared" ref="C345:C354" si="47">INT($C$40)+2</f>
        <v>3</v>
      </c>
      <c r="D345" s="84"/>
      <c r="E345" s="79"/>
      <c r="F345" s="79" t="s">
        <v>1168</v>
      </c>
      <c r="G345" s="84"/>
      <c r="H345" s="87" t="s">
        <v>1169</v>
      </c>
      <c r="I345" s="108" t="s">
        <v>623</v>
      </c>
      <c r="J345" s="108"/>
      <c r="K345" s="109">
        <v>0.1</v>
      </c>
      <c r="L345" s="109">
        <v>0.1</v>
      </c>
      <c r="M345" s="109">
        <v>0.1</v>
      </c>
      <c r="N345" s="109">
        <v>0.1</v>
      </c>
      <c r="O345" s="109">
        <v>0.1</v>
      </c>
      <c r="P345" s="109">
        <v>0.1</v>
      </c>
      <c r="Q345" s="87"/>
      <c r="R345" s="87" t="s">
        <v>1170</v>
      </c>
      <c r="S345" s="87"/>
      <c r="T345" s="87"/>
      <c r="U345" s="311">
        <f t="shared" ref="U345:AB345" si="48">INDEX($K345:$Q345,1,U$54)</f>
        <v>0.1</v>
      </c>
      <c r="V345" s="311">
        <f t="shared" si="48"/>
        <v>0.1</v>
      </c>
      <c r="W345" s="311">
        <f t="shared" si="48"/>
        <v>0.1</v>
      </c>
      <c r="X345" s="311">
        <f t="shared" si="48"/>
        <v>0.1</v>
      </c>
      <c r="Y345" s="311">
        <f t="shared" si="48"/>
        <v>0.1</v>
      </c>
      <c r="Z345" s="311">
        <f t="shared" si="48"/>
        <v>0.1</v>
      </c>
      <c r="AA345" s="311">
        <f t="shared" si="48"/>
        <v>0.1</v>
      </c>
      <c r="AB345" s="311">
        <f t="shared" si="48"/>
        <v>0.1</v>
      </c>
      <c r="AC345" s="87"/>
      <c r="AD345" s="87"/>
      <c r="AE345" s="87"/>
      <c r="AF345" s="109">
        <v>1</v>
      </c>
      <c r="AG345" s="109">
        <v>1</v>
      </c>
      <c r="AH345" s="84"/>
      <c r="AI345" s="66"/>
      <c r="AJ345" s="54"/>
      <c r="AK345" s="54"/>
      <c r="AL345" s="54"/>
    </row>
    <row r="346" spans="1:38" outlineLevel="2" x14ac:dyDescent="0.25">
      <c r="A346" s="54"/>
      <c r="B346" s="63"/>
      <c r="C346" s="56">
        <f t="shared" si="47"/>
        <v>3</v>
      </c>
      <c r="D346" s="84"/>
      <c r="E346" s="79"/>
      <c r="F346" s="79" t="s">
        <v>1171</v>
      </c>
      <c r="G346" s="84"/>
      <c r="H346" s="322" t="s">
        <v>1172</v>
      </c>
      <c r="I346" s="108" t="s">
        <v>623</v>
      </c>
      <c r="J346" s="108"/>
      <c r="K346" s="87"/>
      <c r="L346" s="87"/>
      <c r="M346" s="87"/>
      <c r="N346" s="87"/>
      <c r="O346" s="87"/>
      <c r="P346" s="87"/>
      <c r="Q346" s="87"/>
      <c r="R346" s="87"/>
      <c r="S346" s="87"/>
      <c r="T346" s="87"/>
      <c r="U346" s="109">
        <f>0.1/365</f>
        <v>2.7397260273972606E-4</v>
      </c>
      <c r="V346" s="109">
        <f t="shared" ref="V346:AB346" si="49">0.1/365</f>
        <v>2.7397260273972606E-4</v>
      </c>
      <c r="W346" s="109">
        <f t="shared" si="49"/>
        <v>2.7397260273972606E-4</v>
      </c>
      <c r="X346" s="109">
        <f t="shared" si="49"/>
        <v>2.7397260273972606E-4</v>
      </c>
      <c r="Y346" s="109">
        <f t="shared" si="49"/>
        <v>2.7397260273972606E-4</v>
      </c>
      <c r="Z346" s="109">
        <f t="shared" si="49"/>
        <v>2.7397260273972606E-4</v>
      </c>
      <c r="AA346" s="109">
        <f t="shared" si="49"/>
        <v>2.7397260273972606E-4</v>
      </c>
      <c r="AB346" s="109">
        <f t="shared" si="49"/>
        <v>2.7397260273972606E-4</v>
      </c>
      <c r="AC346" s="87"/>
      <c r="AD346" s="109" t="s">
        <v>1173</v>
      </c>
      <c r="AE346" s="87"/>
      <c r="AF346" s="109">
        <v>1</v>
      </c>
      <c r="AG346" s="109">
        <v>1</v>
      </c>
      <c r="AH346" s="84"/>
      <c r="AI346" s="66"/>
      <c r="AJ346" s="54"/>
      <c r="AK346" s="54"/>
      <c r="AL346" s="54"/>
    </row>
    <row r="347" spans="1:38" outlineLevel="2" x14ac:dyDescent="0.25">
      <c r="A347" s="54"/>
      <c r="B347" s="63"/>
      <c r="C347" s="56">
        <f t="shared" si="47"/>
        <v>3</v>
      </c>
      <c r="D347" s="84"/>
      <c r="E347" s="79"/>
      <c r="F347" s="79" t="s">
        <v>1174</v>
      </c>
      <c r="G347" s="84"/>
      <c r="H347" s="87" t="s">
        <v>1175</v>
      </c>
      <c r="I347" s="108" t="s">
        <v>623</v>
      </c>
      <c r="J347" s="108"/>
      <c r="K347" s="109">
        <v>300</v>
      </c>
      <c r="L347" s="109">
        <v>300</v>
      </c>
      <c r="M347" s="109">
        <v>300</v>
      </c>
      <c r="N347" s="109">
        <v>300</v>
      </c>
      <c r="O347" s="109">
        <v>300</v>
      </c>
      <c r="P347" s="109">
        <v>300</v>
      </c>
      <c r="Q347" s="87"/>
      <c r="R347" s="87"/>
      <c r="S347" s="87"/>
      <c r="T347" s="87"/>
      <c r="U347" s="311">
        <f t="shared" ref="U347:AB354" si="50">INDEX($K347:$Q347,1,U$54)</f>
        <v>300</v>
      </c>
      <c r="V347" s="311">
        <f t="shared" si="50"/>
        <v>300</v>
      </c>
      <c r="W347" s="311">
        <f t="shared" si="50"/>
        <v>300</v>
      </c>
      <c r="X347" s="311">
        <f t="shared" si="50"/>
        <v>300</v>
      </c>
      <c r="Y347" s="311">
        <f t="shared" si="50"/>
        <v>300</v>
      </c>
      <c r="Z347" s="311">
        <f t="shared" si="50"/>
        <v>300</v>
      </c>
      <c r="AA347" s="311">
        <f t="shared" si="50"/>
        <v>300</v>
      </c>
      <c r="AB347" s="311">
        <f t="shared" si="50"/>
        <v>300</v>
      </c>
      <c r="AC347" s="87"/>
      <c r="AD347" s="87"/>
      <c r="AE347" s="87"/>
      <c r="AF347" s="109">
        <v>1</v>
      </c>
      <c r="AG347" s="109">
        <v>1</v>
      </c>
      <c r="AH347" s="84"/>
      <c r="AI347" s="66"/>
      <c r="AJ347" s="54"/>
      <c r="AK347" s="54"/>
      <c r="AL347" s="54"/>
    </row>
    <row r="348" spans="1:38" outlineLevel="2" x14ac:dyDescent="0.25">
      <c r="A348" s="54"/>
      <c r="B348" s="63"/>
      <c r="C348" s="56">
        <f t="shared" si="47"/>
        <v>3</v>
      </c>
      <c r="D348" s="84"/>
      <c r="E348" s="79"/>
      <c r="F348" s="79" t="s">
        <v>1176</v>
      </c>
      <c r="G348" s="84"/>
      <c r="H348" s="87" t="s">
        <v>1177</v>
      </c>
      <c r="I348" s="108" t="s">
        <v>623</v>
      </c>
      <c r="J348" s="108"/>
      <c r="K348" s="109">
        <v>365</v>
      </c>
      <c r="L348" s="109">
        <v>365</v>
      </c>
      <c r="M348" s="109">
        <v>365</v>
      </c>
      <c r="N348" s="109">
        <v>365</v>
      </c>
      <c r="O348" s="109">
        <v>365</v>
      </c>
      <c r="P348" s="109">
        <v>365</v>
      </c>
      <c r="Q348" s="87"/>
      <c r="R348" s="87"/>
      <c r="S348" s="87"/>
      <c r="T348" s="87"/>
      <c r="U348" s="311">
        <f t="shared" si="50"/>
        <v>365</v>
      </c>
      <c r="V348" s="311">
        <f t="shared" si="50"/>
        <v>365</v>
      </c>
      <c r="W348" s="311">
        <f t="shared" si="50"/>
        <v>365</v>
      </c>
      <c r="X348" s="311">
        <f t="shared" si="50"/>
        <v>365</v>
      </c>
      <c r="Y348" s="311">
        <f t="shared" si="50"/>
        <v>365</v>
      </c>
      <c r="Z348" s="311">
        <f t="shared" si="50"/>
        <v>365</v>
      </c>
      <c r="AA348" s="311">
        <f t="shared" si="50"/>
        <v>365</v>
      </c>
      <c r="AB348" s="311">
        <f t="shared" si="50"/>
        <v>365</v>
      </c>
      <c r="AC348" s="87"/>
      <c r="AD348" s="87"/>
      <c r="AE348" s="87"/>
      <c r="AF348" s="109">
        <v>1</v>
      </c>
      <c r="AG348" s="109">
        <v>1</v>
      </c>
      <c r="AH348" s="84"/>
      <c r="AI348" s="66"/>
      <c r="AJ348" s="54"/>
      <c r="AK348" s="54"/>
      <c r="AL348" s="54"/>
    </row>
    <row r="349" spans="1:38" outlineLevel="2" x14ac:dyDescent="0.25">
      <c r="A349" s="54"/>
      <c r="B349" s="63"/>
      <c r="C349" s="56">
        <f t="shared" si="47"/>
        <v>3</v>
      </c>
      <c r="D349" s="84"/>
      <c r="E349" s="79"/>
      <c r="F349" s="79" t="s">
        <v>1178</v>
      </c>
      <c r="G349" s="84"/>
      <c r="H349" s="87" t="s">
        <v>1179</v>
      </c>
      <c r="I349" s="108" t="s">
        <v>623</v>
      </c>
      <c r="J349" s="108"/>
      <c r="K349" s="109">
        <v>0.2</v>
      </c>
      <c r="L349" s="109">
        <v>0.2</v>
      </c>
      <c r="M349" s="109"/>
      <c r="N349" s="109"/>
      <c r="O349" s="109"/>
      <c r="P349" s="109"/>
      <c r="Q349" s="87"/>
      <c r="R349" s="87"/>
      <c r="S349" s="87"/>
      <c r="T349" s="87"/>
      <c r="U349" s="311">
        <f t="shared" si="50"/>
        <v>0.2</v>
      </c>
      <c r="V349" s="311">
        <f t="shared" si="50"/>
        <v>0.2</v>
      </c>
      <c r="W349" s="311">
        <f t="shared" si="50"/>
        <v>0.2</v>
      </c>
      <c r="X349" s="311">
        <f t="shared" si="50"/>
        <v>0.2</v>
      </c>
      <c r="Y349" s="311">
        <f t="shared" si="50"/>
        <v>0.2</v>
      </c>
      <c r="Z349" s="311">
        <f t="shared" si="50"/>
        <v>0.2</v>
      </c>
      <c r="AA349" s="311">
        <f t="shared" si="50"/>
        <v>0.2</v>
      </c>
      <c r="AB349" s="311">
        <f t="shared" si="50"/>
        <v>0.2</v>
      </c>
      <c r="AC349" s="87"/>
      <c r="AD349" s="87"/>
      <c r="AE349" s="87"/>
      <c r="AF349" s="109">
        <v>1</v>
      </c>
      <c r="AG349" s="109">
        <v>1</v>
      </c>
      <c r="AH349" s="84"/>
      <c r="AI349" s="66"/>
      <c r="AJ349" s="54"/>
      <c r="AK349" s="54"/>
      <c r="AL349" s="54"/>
    </row>
    <row r="350" spans="1:38" outlineLevel="2" x14ac:dyDescent="0.25">
      <c r="A350" s="54"/>
      <c r="B350" s="63"/>
      <c r="C350" s="56">
        <f t="shared" si="47"/>
        <v>3</v>
      </c>
      <c r="D350" s="84"/>
      <c r="E350" s="79"/>
      <c r="F350" s="79" t="s">
        <v>1180</v>
      </c>
      <c r="G350" s="84"/>
      <c r="H350" s="87" t="s">
        <v>1181</v>
      </c>
      <c r="I350" s="108" t="s">
        <v>623</v>
      </c>
      <c r="J350" s="108"/>
      <c r="K350" s="109">
        <v>0.2</v>
      </c>
      <c r="L350" s="109">
        <v>0.2</v>
      </c>
      <c r="M350" s="109"/>
      <c r="N350" s="109"/>
      <c r="O350" s="109"/>
      <c r="P350" s="109"/>
      <c r="Q350" s="87"/>
      <c r="R350" s="87"/>
      <c r="S350" s="87"/>
      <c r="T350" s="87"/>
      <c r="U350" s="311">
        <f t="shared" si="50"/>
        <v>0.2</v>
      </c>
      <c r="V350" s="311">
        <f t="shared" si="50"/>
        <v>0.2</v>
      </c>
      <c r="W350" s="311">
        <f t="shared" si="50"/>
        <v>0.2</v>
      </c>
      <c r="X350" s="311">
        <f t="shared" si="50"/>
        <v>0.2</v>
      </c>
      <c r="Y350" s="311">
        <f t="shared" si="50"/>
        <v>0.2</v>
      </c>
      <c r="Z350" s="311">
        <f t="shared" si="50"/>
        <v>0.2</v>
      </c>
      <c r="AA350" s="311">
        <f t="shared" si="50"/>
        <v>0.2</v>
      </c>
      <c r="AB350" s="311">
        <f t="shared" si="50"/>
        <v>0.2</v>
      </c>
      <c r="AC350" s="87"/>
      <c r="AD350" s="87"/>
      <c r="AE350" s="87"/>
      <c r="AF350" s="109">
        <v>1</v>
      </c>
      <c r="AG350" s="109">
        <v>1</v>
      </c>
      <c r="AH350" s="84"/>
      <c r="AI350" s="66"/>
      <c r="AJ350" s="54"/>
      <c r="AK350" s="54"/>
      <c r="AL350" s="54"/>
    </row>
    <row r="351" spans="1:38" outlineLevel="2" x14ac:dyDescent="0.25">
      <c r="A351" s="54"/>
      <c r="B351" s="63"/>
      <c r="C351" s="56">
        <f t="shared" si="47"/>
        <v>3</v>
      </c>
      <c r="D351" s="84"/>
      <c r="E351" s="79"/>
      <c r="F351" s="79" t="s">
        <v>1182</v>
      </c>
      <c r="G351" s="84"/>
      <c r="H351" s="87" t="s">
        <v>1183</v>
      </c>
      <c r="I351" s="108" t="s">
        <v>623</v>
      </c>
      <c r="J351" s="108"/>
      <c r="K351" s="136">
        <v>0.1</v>
      </c>
      <c r="L351" s="109"/>
      <c r="M351" s="87"/>
      <c r="N351" s="87"/>
      <c r="O351" s="87"/>
      <c r="P351" s="87"/>
      <c r="Q351" s="87"/>
      <c r="R351" s="87"/>
      <c r="S351" s="87"/>
      <c r="T351" s="87"/>
      <c r="U351" s="311">
        <f t="shared" si="50"/>
        <v>0.1</v>
      </c>
      <c r="V351" s="311">
        <f t="shared" si="50"/>
        <v>0.1</v>
      </c>
      <c r="W351" s="311">
        <f t="shared" si="50"/>
        <v>0.1</v>
      </c>
      <c r="X351" s="311">
        <f t="shared" si="50"/>
        <v>0</v>
      </c>
      <c r="Y351" s="311">
        <f t="shared" si="50"/>
        <v>0</v>
      </c>
      <c r="Z351" s="311">
        <f t="shared" si="50"/>
        <v>0</v>
      </c>
      <c r="AA351" s="311">
        <f t="shared" si="50"/>
        <v>0</v>
      </c>
      <c r="AB351" s="311">
        <f t="shared" si="50"/>
        <v>0</v>
      </c>
      <c r="AC351" s="87"/>
      <c r="AD351" s="87"/>
      <c r="AE351" s="87"/>
      <c r="AF351" s="109">
        <v>1</v>
      </c>
      <c r="AG351" s="109">
        <v>1</v>
      </c>
      <c r="AH351" s="84"/>
      <c r="AI351" s="66"/>
      <c r="AJ351" s="54"/>
      <c r="AK351" s="54"/>
      <c r="AL351" s="54"/>
    </row>
    <row r="352" spans="1:38" outlineLevel="2" x14ac:dyDescent="0.25">
      <c r="A352" s="54"/>
      <c r="B352" s="63"/>
      <c r="C352" s="56">
        <f t="shared" si="47"/>
        <v>3</v>
      </c>
      <c r="D352" s="84"/>
      <c r="E352" s="79"/>
      <c r="F352" s="79" t="s">
        <v>1184</v>
      </c>
      <c r="G352" s="84"/>
      <c r="H352" s="87" t="s">
        <v>1185</v>
      </c>
      <c r="I352" s="108" t="s">
        <v>623</v>
      </c>
      <c r="J352" s="108"/>
      <c r="K352" s="136">
        <v>0.03</v>
      </c>
      <c r="L352" s="109"/>
      <c r="M352" s="87"/>
      <c r="N352" s="87"/>
      <c r="O352" s="87"/>
      <c r="P352" s="87"/>
      <c r="Q352" s="87"/>
      <c r="R352" s="87"/>
      <c r="S352" s="87"/>
      <c r="T352" s="87"/>
      <c r="U352" s="311">
        <f t="shared" si="50"/>
        <v>0.03</v>
      </c>
      <c r="V352" s="311">
        <f t="shared" si="50"/>
        <v>0.03</v>
      </c>
      <c r="W352" s="311">
        <f t="shared" si="50"/>
        <v>0.03</v>
      </c>
      <c r="X352" s="311">
        <f t="shared" si="50"/>
        <v>0</v>
      </c>
      <c r="Y352" s="311">
        <f t="shared" si="50"/>
        <v>0</v>
      </c>
      <c r="Z352" s="311">
        <f t="shared" si="50"/>
        <v>0</v>
      </c>
      <c r="AA352" s="311">
        <f t="shared" si="50"/>
        <v>0</v>
      </c>
      <c r="AB352" s="311">
        <f t="shared" si="50"/>
        <v>0</v>
      </c>
      <c r="AC352" s="87"/>
      <c r="AD352" s="87"/>
      <c r="AE352" s="87"/>
      <c r="AF352" s="109">
        <v>1</v>
      </c>
      <c r="AG352" s="109">
        <v>1</v>
      </c>
      <c r="AH352" s="84"/>
      <c r="AI352" s="66"/>
      <c r="AJ352" s="54"/>
      <c r="AK352" s="54"/>
      <c r="AL352" s="54"/>
    </row>
    <row r="353" spans="1:38" outlineLevel="2" x14ac:dyDescent="0.25">
      <c r="A353" s="54"/>
      <c r="B353" s="63"/>
      <c r="C353" s="56">
        <f t="shared" si="47"/>
        <v>3</v>
      </c>
      <c r="D353" s="84"/>
      <c r="E353" s="79"/>
      <c r="F353" s="79" t="s">
        <v>1186</v>
      </c>
      <c r="G353" s="84"/>
      <c r="H353" s="87" t="s">
        <v>1187</v>
      </c>
      <c r="I353" s="108" t="s">
        <v>623</v>
      </c>
      <c r="J353" s="108"/>
      <c r="K353" s="136">
        <v>0.01</v>
      </c>
      <c r="L353" s="109"/>
      <c r="M353" s="87"/>
      <c r="N353" s="87"/>
      <c r="O353" s="87"/>
      <c r="P353" s="87"/>
      <c r="Q353" s="87"/>
      <c r="R353" s="87"/>
      <c r="S353" s="87"/>
      <c r="T353" s="87"/>
      <c r="U353" s="311">
        <f t="shared" si="50"/>
        <v>0.01</v>
      </c>
      <c r="V353" s="311">
        <f t="shared" si="50"/>
        <v>0.01</v>
      </c>
      <c r="W353" s="311">
        <f t="shared" si="50"/>
        <v>0.01</v>
      </c>
      <c r="X353" s="311">
        <f t="shared" si="50"/>
        <v>0</v>
      </c>
      <c r="Y353" s="311">
        <f t="shared" si="50"/>
        <v>0</v>
      </c>
      <c r="Z353" s="311">
        <f t="shared" si="50"/>
        <v>0</v>
      </c>
      <c r="AA353" s="311">
        <f t="shared" si="50"/>
        <v>0</v>
      </c>
      <c r="AB353" s="311">
        <f t="shared" si="50"/>
        <v>0</v>
      </c>
      <c r="AC353" s="87"/>
      <c r="AD353" s="87"/>
      <c r="AE353" s="87"/>
      <c r="AF353" s="109">
        <v>1</v>
      </c>
      <c r="AG353" s="109">
        <v>1</v>
      </c>
      <c r="AH353" s="84"/>
      <c r="AI353" s="66"/>
      <c r="AJ353" s="54"/>
      <c r="AK353" s="54"/>
      <c r="AL353" s="54"/>
    </row>
    <row r="354" spans="1:38" outlineLevel="2" x14ac:dyDescent="0.25">
      <c r="A354" s="54"/>
      <c r="B354" s="63"/>
      <c r="C354" s="56">
        <f t="shared" si="47"/>
        <v>3</v>
      </c>
      <c r="D354" s="84"/>
      <c r="E354" s="79"/>
      <c r="F354" s="79" t="s">
        <v>1188</v>
      </c>
      <c r="G354" s="84"/>
      <c r="H354" s="87" t="s">
        <v>1189</v>
      </c>
      <c r="I354" s="108" t="s">
        <v>623</v>
      </c>
      <c r="J354" s="108"/>
      <c r="K354" s="136">
        <v>0</v>
      </c>
      <c r="L354" s="109"/>
      <c r="M354" s="87"/>
      <c r="N354" s="87"/>
      <c r="O354" s="87"/>
      <c r="P354" s="87"/>
      <c r="Q354" s="87"/>
      <c r="R354" s="87"/>
      <c r="S354" s="87"/>
      <c r="T354" s="87"/>
      <c r="U354" s="311">
        <f t="shared" si="50"/>
        <v>0</v>
      </c>
      <c r="V354" s="311">
        <f t="shared" si="50"/>
        <v>0</v>
      </c>
      <c r="W354" s="311">
        <f t="shared" si="50"/>
        <v>0</v>
      </c>
      <c r="X354" s="311">
        <f t="shared" si="50"/>
        <v>0</v>
      </c>
      <c r="Y354" s="311">
        <f t="shared" si="50"/>
        <v>0</v>
      </c>
      <c r="Z354" s="311">
        <f t="shared" si="50"/>
        <v>0</v>
      </c>
      <c r="AA354" s="311">
        <f t="shared" si="50"/>
        <v>0</v>
      </c>
      <c r="AB354" s="311">
        <f t="shared" si="50"/>
        <v>0</v>
      </c>
      <c r="AC354" s="87"/>
      <c r="AD354" s="87"/>
      <c r="AE354" s="87"/>
      <c r="AF354" s="109">
        <v>1</v>
      </c>
      <c r="AG354" s="109">
        <v>1</v>
      </c>
      <c r="AH354" s="84"/>
      <c r="AI354" s="66"/>
      <c r="AJ354" s="54"/>
      <c r="AK354" s="54"/>
      <c r="AL354" s="54"/>
    </row>
    <row r="355" spans="1:38" outlineLevel="1" x14ac:dyDescent="0.25">
      <c r="A355" s="54"/>
      <c r="B355" s="63"/>
      <c r="C355" s="56">
        <f>INT($C$40)+1</f>
        <v>2</v>
      </c>
      <c r="D355" s="84"/>
      <c r="E355" s="79"/>
      <c r="F355" s="314" t="s">
        <v>1190</v>
      </c>
      <c r="G355" s="84"/>
      <c r="H355" s="304" t="s">
        <v>1191</v>
      </c>
      <c r="I355" s="149"/>
      <c r="J355" s="149" t="s">
        <v>1192</v>
      </c>
      <c r="K355" s="87"/>
      <c r="L355" s="87"/>
      <c r="M355" s="87"/>
      <c r="N355" s="87"/>
      <c r="O355" s="87"/>
      <c r="P355" s="87"/>
      <c r="Q355" s="87"/>
      <c r="R355" s="87"/>
      <c r="S355" s="87"/>
      <c r="T355" s="87"/>
      <c r="U355" s="91">
        <v>19</v>
      </c>
      <c r="V355" s="91">
        <v>8</v>
      </c>
      <c r="W355" s="91">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1193</v>
      </c>
      <c r="G356" s="84"/>
      <c r="H356" s="87" t="s">
        <v>727</v>
      </c>
      <c r="I356" s="108"/>
      <c r="J356" s="108"/>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1194</v>
      </c>
      <c r="G357" s="84"/>
      <c r="H357" s="87"/>
      <c r="I357" s="108"/>
      <c r="J357" s="108"/>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1195</v>
      </c>
      <c r="G358" s="84"/>
      <c r="H358" s="87"/>
      <c r="I358" s="108"/>
      <c r="J358" s="108"/>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1196</v>
      </c>
      <c r="G359" s="84"/>
      <c r="H359" s="87"/>
      <c r="I359" s="108"/>
      <c r="J359" s="108"/>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1197</v>
      </c>
      <c r="G360" s="84"/>
      <c r="H360" s="87"/>
      <c r="I360" s="108"/>
      <c r="J360" s="108"/>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1198</v>
      </c>
      <c r="G361" s="84"/>
      <c r="H361" s="87"/>
      <c r="I361" s="108"/>
      <c r="J361" s="108"/>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1199</v>
      </c>
      <c r="G362" s="84"/>
      <c r="H362" s="87"/>
      <c r="I362" s="108"/>
      <c r="J362" s="108"/>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1200</v>
      </c>
      <c r="G363" s="84"/>
      <c r="H363" s="87"/>
      <c r="I363" s="108"/>
      <c r="J363" s="108"/>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1201</v>
      </c>
      <c r="G364" s="84"/>
      <c r="H364" s="87" t="s">
        <v>727</v>
      </c>
      <c r="I364" s="108"/>
      <c r="J364" s="108"/>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1202</v>
      </c>
      <c r="G365" s="84"/>
      <c r="H365" s="87"/>
      <c r="I365" s="108"/>
      <c r="J365" s="108"/>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1203</v>
      </c>
      <c r="G366" s="84"/>
      <c r="H366" s="87"/>
      <c r="I366" s="108"/>
      <c r="J366" s="108"/>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1204</v>
      </c>
      <c r="G367" s="84"/>
      <c r="H367" s="87"/>
      <c r="I367" s="108"/>
      <c r="J367" s="108"/>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1205</v>
      </c>
      <c r="G368" s="84"/>
      <c r="H368" s="87"/>
      <c r="I368" s="108"/>
      <c r="J368" s="108"/>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1206</v>
      </c>
      <c r="G369" s="84"/>
      <c r="H369" s="87"/>
      <c r="I369" s="108"/>
      <c r="J369" s="108"/>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1207</v>
      </c>
      <c r="G370" s="84"/>
      <c r="H370" s="87"/>
      <c r="I370" s="108"/>
      <c r="J370" s="108"/>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1208</v>
      </c>
      <c r="G371" s="84"/>
      <c r="H371" s="87"/>
      <c r="I371" s="108"/>
      <c r="J371" s="108"/>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1209</v>
      </c>
      <c r="G372" s="84"/>
      <c r="H372" s="87" t="s">
        <v>727</v>
      </c>
      <c r="I372" s="108"/>
      <c r="J372" s="108"/>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1210</v>
      </c>
      <c r="G373" s="84"/>
      <c r="H373" s="87"/>
      <c r="I373" s="108"/>
      <c r="J373" s="108"/>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1211</v>
      </c>
      <c r="G374" s="84"/>
      <c r="H374" s="87"/>
      <c r="I374" s="108"/>
      <c r="J374" s="108"/>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1212</v>
      </c>
      <c r="G375" s="84"/>
      <c r="H375" s="87"/>
      <c r="I375" s="108"/>
      <c r="J375" s="108"/>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1213</v>
      </c>
      <c r="G376" s="84"/>
      <c r="H376" s="87"/>
      <c r="I376" s="108"/>
      <c r="J376" s="108"/>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1214</v>
      </c>
      <c r="G377" s="84"/>
      <c r="H377" s="87"/>
      <c r="I377" s="108"/>
      <c r="J377" s="108"/>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1215</v>
      </c>
      <c r="G378" s="84"/>
      <c r="H378" s="87"/>
      <c r="I378" s="108"/>
      <c r="J378" s="108"/>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1216</v>
      </c>
      <c r="G379" s="84"/>
      <c r="H379" s="87"/>
      <c r="I379" s="108"/>
      <c r="J379" s="108"/>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1217</v>
      </c>
      <c r="G380" s="84"/>
      <c r="H380" s="87" t="s">
        <v>727</v>
      </c>
      <c r="I380" s="108"/>
      <c r="J380" s="108"/>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1218</v>
      </c>
      <c r="G381" s="84"/>
      <c r="H381" s="87"/>
      <c r="I381" s="108"/>
      <c r="J381" s="108"/>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1219</v>
      </c>
      <c r="G382" s="84"/>
      <c r="H382" s="87"/>
      <c r="I382" s="108"/>
      <c r="J382" s="108"/>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1220</v>
      </c>
      <c r="G383" s="84"/>
      <c r="H383" s="87"/>
      <c r="I383" s="108"/>
      <c r="J383" s="108"/>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1221</v>
      </c>
      <c r="G384" s="84"/>
      <c r="H384" s="87"/>
      <c r="I384" s="108"/>
      <c r="J384" s="108"/>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1222</v>
      </c>
      <c r="G385" s="84"/>
      <c r="H385" s="87"/>
      <c r="I385" s="108"/>
      <c r="J385" s="108"/>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1223</v>
      </c>
      <c r="G386" s="84"/>
      <c r="H386" s="87"/>
      <c r="I386" s="108"/>
      <c r="J386" s="108"/>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1224</v>
      </c>
      <c r="G387" s="84"/>
      <c r="H387" s="87"/>
      <c r="I387" s="108"/>
      <c r="J387" s="108"/>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1225</v>
      </c>
      <c r="G388" s="84"/>
      <c r="H388" s="87" t="s">
        <v>727</v>
      </c>
      <c r="I388" s="108"/>
      <c r="J388" s="108"/>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1226</v>
      </c>
      <c r="G389" s="84"/>
      <c r="H389" s="87"/>
      <c r="I389" s="108"/>
      <c r="J389" s="108"/>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1227</v>
      </c>
      <c r="G390" s="84"/>
      <c r="H390" s="87"/>
      <c r="I390" s="108"/>
      <c r="J390" s="108"/>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1228</v>
      </c>
      <c r="G391" s="84"/>
      <c r="H391" s="87"/>
      <c r="I391" s="108"/>
      <c r="J391" s="108"/>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1229</v>
      </c>
      <c r="G392" s="84"/>
      <c r="H392" s="87"/>
      <c r="I392" s="108"/>
      <c r="J392" s="108"/>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1230</v>
      </c>
      <c r="G393" s="84"/>
      <c r="H393" s="87"/>
      <c r="I393" s="108"/>
      <c r="J393" s="108"/>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1231</v>
      </c>
      <c r="G394" s="84"/>
      <c r="H394" s="87"/>
      <c r="I394" s="108"/>
      <c r="J394" s="108"/>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1232</v>
      </c>
      <c r="G395" s="84"/>
      <c r="H395" s="87"/>
      <c r="I395" s="108"/>
      <c r="J395" s="108"/>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1233</v>
      </c>
      <c r="G396" s="84"/>
      <c r="H396" s="87" t="s">
        <v>727</v>
      </c>
      <c r="I396" s="108"/>
      <c r="J396" s="108"/>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1234</v>
      </c>
      <c r="G397" s="84"/>
      <c r="H397" s="87"/>
      <c r="I397" s="108"/>
      <c r="J397" s="108"/>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1235</v>
      </c>
      <c r="G398" s="84"/>
      <c r="H398" s="87"/>
      <c r="I398" s="108"/>
      <c r="J398" s="108"/>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1236</v>
      </c>
      <c r="G399" s="84"/>
      <c r="H399" s="87"/>
      <c r="I399" s="108"/>
      <c r="J399" s="108"/>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1237</v>
      </c>
      <c r="G400" s="84"/>
      <c r="H400" s="87"/>
      <c r="I400" s="108"/>
      <c r="J400" s="108"/>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1238</v>
      </c>
      <c r="G401" s="84"/>
      <c r="H401" s="87"/>
      <c r="I401" s="108"/>
      <c r="J401" s="108"/>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1239</v>
      </c>
      <c r="G402" s="84"/>
      <c r="H402" s="87"/>
      <c r="I402" s="108"/>
      <c r="J402" s="108"/>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1240</v>
      </c>
      <c r="G403" s="84"/>
      <c r="H403" s="87"/>
      <c r="I403" s="108"/>
      <c r="J403" s="108"/>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1241</v>
      </c>
      <c r="G404" s="84"/>
      <c r="H404" s="87" t="s">
        <v>727</v>
      </c>
      <c r="I404" s="108"/>
      <c r="J404" s="108"/>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1242</v>
      </c>
      <c r="G405" s="84"/>
      <c r="H405" s="87"/>
      <c r="I405" s="108"/>
      <c r="J405" s="108"/>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1243</v>
      </c>
      <c r="G406" s="84"/>
      <c r="H406" s="87"/>
      <c r="I406" s="108"/>
      <c r="J406" s="108"/>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1244</v>
      </c>
      <c r="G407" s="84"/>
      <c r="H407" s="87"/>
      <c r="I407" s="108"/>
      <c r="J407" s="108"/>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1245</v>
      </c>
      <c r="G408" s="84"/>
      <c r="H408" s="87"/>
      <c r="I408" s="108"/>
      <c r="J408" s="108"/>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1246</v>
      </c>
      <c r="G409" s="84"/>
      <c r="H409" s="87"/>
      <c r="I409" s="108"/>
      <c r="J409" s="108"/>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1247</v>
      </c>
      <c r="G410" s="84"/>
      <c r="H410" s="87"/>
      <c r="I410" s="108"/>
      <c r="J410" s="108"/>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1248</v>
      </c>
      <c r="G411" s="84"/>
      <c r="H411" s="87"/>
      <c r="I411" s="108"/>
      <c r="J411" s="108"/>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1249</v>
      </c>
      <c r="G412" s="84"/>
      <c r="H412" s="87" t="s">
        <v>727</v>
      </c>
      <c r="I412" s="108"/>
      <c r="J412" s="108"/>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1250</v>
      </c>
      <c r="G413" s="84"/>
      <c r="H413" s="87"/>
      <c r="I413" s="108"/>
      <c r="J413" s="108"/>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1251</v>
      </c>
      <c r="G414" s="84"/>
      <c r="H414" s="87"/>
      <c r="I414" s="108"/>
      <c r="J414" s="108"/>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1252</v>
      </c>
      <c r="G415" s="84"/>
      <c r="H415" s="87"/>
      <c r="I415" s="108"/>
      <c r="J415" s="108"/>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1253</v>
      </c>
      <c r="G416" s="84"/>
      <c r="H416" s="87"/>
      <c r="I416" s="108"/>
      <c r="J416" s="108"/>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1254</v>
      </c>
      <c r="G417" s="84"/>
      <c r="H417" s="87"/>
      <c r="I417" s="108"/>
      <c r="J417" s="108"/>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1255</v>
      </c>
      <c r="G418" s="84"/>
      <c r="H418" s="87"/>
      <c r="I418" s="108"/>
      <c r="J418" s="108"/>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1256</v>
      </c>
      <c r="G419" s="84"/>
      <c r="H419" s="87"/>
      <c r="I419" s="108"/>
      <c r="J419" s="108"/>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1257</v>
      </c>
      <c r="G420" s="84"/>
      <c r="H420" s="87" t="s">
        <v>2406</v>
      </c>
      <c r="I420" s="108"/>
      <c r="J420" s="108"/>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1258</v>
      </c>
      <c r="G421" s="84"/>
      <c r="H421" s="87" t="s">
        <v>2407</v>
      </c>
      <c r="I421" s="108"/>
      <c r="J421" s="108"/>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1259</v>
      </c>
      <c r="G422" s="84"/>
      <c r="H422" s="87" t="s">
        <v>2408</v>
      </c>
      <c r="I422" s="108"/>
      <c r="J422" s="108"/>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1260</v>
      </c>
      <c r="G423" s="84"/>
      <c r="H423" s="87" t="s">
        <v>2409</v>
      </c>
      <c r="I423" s="108"/>
      <c r="J423" s="108"/>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1261</v>
      </c>
      <c r="G424" s="84"/>
      <c r="H424" s="87" t="s">
        <v>2410</v>
      </c>
      <c r="I424" s="108"/>
      <c r="J424" s="108"/>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1262</v>
      </c>
      <c r="G425" s="84"/>
      <c r="H425" s="87" t="s">
        <v>2411</v>
      </c>
      <c r="I425" s="108"/>
      <c r="J425" s="108"/>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1263</v>
      </c>
      <c r="G426" s="84"/>
      <c r="H426" s="87" t="s">
        <v>2412</v>
      </c>
      <c r="I426" s="108"/>
      <c r="J426" s="108"/>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1264</v>
      </c>
      <c r="G427" s="84"/>
      <c r="H427" s="87" t="s">
        <v>2413</v>
      </c>
      <c r="I427" s="108"/>
      <c r="J427" s="108"/>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1265</v>
      </c>
      <c r="G428" s="84"/>
      <c r="H428" s="87" t="s">
        <v>727</v>
      </c>
      <c r="I428" s="108"/>
      <c r="J428" s="108"/>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1266</v>
      </c>
      <c r="G429" s="84"/>
      <c r="H429" s="87"/>
      <c r="I429" s="108"/>
      <c r="J429" s="108"/>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1267</v>
      </c>
      <c r="G430" s="84"/>
      <c r="H430" s="87"/>
      <c r="I430" s="108"/>
      <c r="J430" s="108"/>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1268</v>
      </c>
      <c r="G431" s="84"/>
      <c r="H431" s="87"/>
      <c r="I431" s="108"/>
      <c r="J431" s="108"/>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1269</v>
      </c>
      <c r="G432" s="84"/>
      <c r="H432" s="87"/>
      <c r="I432" s="108"/>
      <c r="J432" s="108"/>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1270</v>
      </c>
      <c r="G433" s="84"/>
      <c r="H433" s="87"/>
      <c r="I433" s="108"/>
      <c r="J433" s="108"/>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1271</v>
      </c>
      <c r="G434" s="84"/>
      <c r="H434" s="87"/>
      <c r="I434" s="108"/>
      <c r="J434" s="108"/>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1272</v>
      </c>
      <c r="G435" s="84"/>
      <c r="H435" s="87"/>
      <c r="I435" s="108"/>
      <c r="J435" s="108"/>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1273</v>
      </c>
      <c r="G436" s="84"/>
      <c r="H436" s="87" t="s">
        <v>727</v>
      </c>
      <c r="I436" s="108"/>
      <c r="J436" s="108"/>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1274</v>
      </c>
      <c r="G437" s="84"/>
      <c r="H437" s="87"/>
      <c r="I437" s="108"/>
      <c r="J437" s="108"/>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1275</v>
      </c>
      <c r="G438" s="84"/>
      <c r="H438" s="87"/>
      <c r="I438" s="108"/>
      <c r="J438" s="108"/>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1276</v>
      </c>
      <c r="G439" s="84"/>
      <c r="H439" s="87"/>
      <c r="I439" s="108"/>
      <c r="J439" s="108"/>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1277</v>
      </c>
      <c r="G440" s="84"/>
      <c r="H440" s="87"/>
      <c r="I440" s="108"/>
      <c r="J440" s="108"/>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1278</v>
      </c>
      <c r="G441" s="84"/>
      <c r="H441" s="87"/>
      <c r="I441" s="108"/>
      <c r="J441" s="108"/>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1279</v>
      </c>
      <c r="G442" s="84"/>
      <c r="H442" s="87"/>
      <c r="I442" s="108"/>
      <c r="J442" s="108"/>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1280</v>
      </c>
      <c r="G443" s="84"/>
      <c r="H443" s="87"/>
      <c r="I443" s="108"/>
      <c r="J443" s="108"/>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1281</v>
      </c>
      <c r="G444" s="84"/>
      <c r="H444" s="87" t="s">
        <v>727</v>
      </c>
      <c r="I444" s="108"/>
      <c r="J444" s="108"/>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1282</v>
      </c>
      <c r="G445" s="84"/>
      <c r="H445" s="87"/>
      <c r="I445" s="108"/>
      <c r="J445" s="108"/>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1283</v>
      </c>
      <c r="G446" s="84"/>
      <c r="H446" s="87"/>
      <c r="I446" s="108"/>
      <c r="J446" s="108"/>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1284</v>
      </c>
      <c r="G447" s="84"/>
      <c r="H447" s="87"/>
      <c r="I447" s="108"/>
      <c r="J447" s="108"/>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1285</v>
      </c>
      <c r="G448" s="84"/>
      <c r="H448" s="87"/>
      <c r="I448" s="108"/>
      <c r="J448" s="108"/>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1286</v>
      </c>
      <c r="G449" s="84"/>
      <c r="H449" s="87"/>
      <c r="I449" s="108"/>
      <c r="J449" s="108"/>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1287</v>
      </c>
      <c r="G450" s="84"/>
      <c r="H450" s="87"/>
      <c r="I450" s="108"/>
      <c r="J450" s="108"/>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1288</v>
      </c>
      <c r="G451" s="84"/>
      <c r="H451" s="87"/>
      <c r="I451" s="108"/>
      <c r="J451" s="108"/>
      <c r="K451" s="87"/>
      <c r="L451" s="87"/>
      <c r="M451" s="87"/>
      <c r="N451" s="87"/>
      <c r="O451" s="87"/>
      <c r="P451" s="87"/>
      <c r="Q451" s="87"/>
      <c r="R451" s="87"/>
      <c r="S451" s="87"/>
      <c r="T451" s="108" t="s">
        <v>1289</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25">
      <c r="A452" s="54"/>
      <c r="B452" s="63"/>
      <c r="C452" s="56">
        <f t="shared" si="52"/>
        <v>3</v>
      </c>
      <c r="D452" s="84"/>
      <c r="E452" s="79"/>
      <c r="F452" s="79" t="s">
        <v>1290</v>
      </c>
      <c r="G452" s="84"/>
      <c r="H452" s="87" t="s">
        <v>1291</v>
      </c>
      <c r="I452" s="108" t="s">
        <v>623</v>
      </c>
      <c r="J452" s="108" t="s">
        <v>1292</v>
      </c>
      <c r="K452" s="87"/>
      <c r="L452" s="87"/>
      <c r="M452" s="87"/>
      <c r="N452" s="87"/>
      <c r="O452" s="87"/>
      <c r="P452" s="87"/>
      <c r="Q452" s="87"/>
      <c r="R452" s="87"/>
      <c r="S452" s="87"/>
      <c r="T452" s="87">
        <v>-0.1</v>
      </c>
      <c r="U452" s="109">
        <v>-0.2</v>
      </c>
      <c r="V452" s="109">
        <v>-0.2</v>
      </c>
      <c r="W452" s="109">
        <v>-0.2</v>
      </c>
      <c r="X452" s="313">
        <f t="shared" ref="X452:AB464" si="53">W452</f>
        <v>-0.2</v>
      </c>
      <c r="Y452" s="313">
        <f t="shared" si="53"/>
        <v>-0.2</v>
      </c>
      <c r="Z452" s="313">
        <f t="shared" si="53"/>
        <v>-0.2</v>
      </c>
      <c r="AA452" s="313">
        <f t="shared" si="53"/>
        <v>-0.2</v>
      </c>
      <c r="AB452" s="313">
        <f t="shared" si="53"/>
        <v>-0.2</v>
      </c>
      <c r="AC452" s="87"/>
      <c r="AD452" s="109" t="s">
        <v>1293</v>
      </c>
      <c r="AE452" s="87"/>
      <c r="AF452" s="109">
        <v>1</v>
      </c>
      <c r="AG452" s="109">
        <v>1</v>
      </c>
      <c r="AH452" s="84"/>
      <c r="AI452" s="66"/>
      <c r="AJ452" s="54"/>
      <c r="AK452" s="54"/>
      <c r="AL452" s="54"/>
    </row>
    <row r="453" spans="1:38" outlineLevel="2" x14ac:dyDescent="0.25">
      <c r="A453" s="54"/>
      <c r="B453" s="63"/>
      <c r="C453" s="56">
        <f t="shared" si="52"/>
        <v>3</v>
      </c>
      <c r="D453" s="84"/>
      <c r="E453" s="79"/>
      <c r="F453" s="79" t="s">
        <v>1294</v>
      </c>
      <c r="G453" s="84"/>
      <c r="H453" s="87" t="s">
        <v>1295</v>
      </c>
      <c r="I453" s="108" t="s">
        <v>623</v>
      </c>
      <c r="J453" s="108" t="s">
        <v>1292</v>
      </c>
      <c r="K453" s="87"/>
      <c r="L453" s="87"/>
      <c r="M453" s="87"/>
      <c r="N453" s="87"/>
      <c r="O453" s="87"/>
      <c r="P453" s="87"/>
      <c r="Q453" s="87"/>
      <c r="R453" s="87"/>
      <c r="S453" s="87"/>
      <c r="T453" s="87">
        <v>0</v>
      </c>
      <c r="U453" s="109">
        <v>-0.1</v>
      </c>
      <c r="V453" s="109">
        <v>-0.1</v>
      </c>
      <c r="W453" s="109">
        <v>-0.1</v>
      </c>
      <c r="X453" s="313">
        <f t="shared" si="53"/>
        <v>-0.1</v>
      </c>
      <c r="Y453" s="313">
        <f t="shared" si="53"/>
        <v>-0.1</v>
      </c>
      <c r="Z453" s="313">
        <f t="shared" si="53"/>
        <v>-0.1</v>
      </c>
      <c r="AA453" s="313">
        <f t="shared" si="53"/>
        <v>-0.1</v>
      </c>
      <c r="AB453" s="313">
        <f t="shared" si="53"/>
        <v>-0.1</v>
      </c>
      <c r="AC453" s="87"/>
      <c r="AD453" s="109" t="s">
        <v>1296</v>
      </c>
      <c r="AE453" s="87"/>
      <c r="AF453" s="109">
        <v>1</v>
      </c>
      <c r="AG453" s="109">
        <v>1</v>
      </c>
      <c r="AH453" s="84"/>
      <c r="AI453" s="66"/>
      <c r="AJ453" s="54"/>
      <c r="AK453" s="54"/>
      <c r="AL453" s="54"/>
    </row>
    <row r="454" spans="1:38" outlineLevel="2" x14ac:dyDescent="0.25">
      <c r="A454" s="54"/>
      <c r="B454" s="63"/>
      <c r="C454" s="56">
        <f t="shared" si="52"/>
        <v>3</v>
      </c>
      <c r="D454" s="84"/>
      <c r="E454" s="79"/>
      <c r="F454" s="79" t="s">
        <v>1297</v>
      </c>
      <c r="G454" s="84"/>
      <c r="H454" s="87" t="s">
        <v>1298</v>
      </c>
      <c r="I454" s="108" t="s">
        <v>623</v>
      </c>
      <c r="J454" s="108" t="s">
        <v>1292</v>
      </c>
      <c r="K454" s="87"/>
      <c r="L454" s="87"/>
      <c r="M454" s="87"/>
      <c r="N454" s="87"/>
      <c r="O454" s="87"/>
      <c r="P454" s="87"/>
      <c r="Q454" s="87"/>
      <c r="R454" s="87"/>
      <c r="S454" s="87"/>
      <c r="T454" s="87">
        <v>-1.4E-2</v>
      </c>
      <c r="U454" s="109">
        <v>0</v>
      </c>
      <c r="V454" s="109">
        <v>0</v>
      </c>
      <c r="W454" s="109">
        <v>0</v>
      </c>
      <c r="X454" s="313">
        <f t="shared" si="53"/>
        <v>0</v>
      </c>
      <c r="Y454" s="313">
        <f t="shared" si="53"/>
        <v>0</v>
      </c>
      <c r="Z454" s="313">
        <f t="shared" si="53"/>
        <v>0</v>
      </c>
      <c r="AA454" s="313">
        <f t="shared" si="53"/>
        <v>0</v>
      </c>
      <c r="AB454" s="313">
        <f t="shared" si="53"/>
        <v>0</v>
      </c>
      <c r="AC454" s="87"/>
      <c r="AD454" s="109"/>
      <c r="AE454" s="87"/>
      <c r="AF454" s="109">
        <v>1</v>
      </c>
      <c r="AG454" s="109">
        <v>1</v>
      </c>
      <c r="AH454" s="84"/>
      <c r="AI454" s="66"/>
      <c r="AJ454" s="54"/>
      <c r="AK454" s="54"/>
      <c r="AL454" s="54"/>
    </row>
    <row r="455" spans="1:38" outlineLevel="2" x14ac:dyDescent="0.25">
      <c r="A455" s="54"/>
      <c r="B455" s="63"/>
      <c r="C455" s="56">
        <f t="shared" si="52"/>
        <v>3</v>
      </c>
      <c r="D455" s="84"/>
      <c r="E455" s="79"/>
      <c r="F455" s="79" t="s">
        <v>1299</v>
      </c>
      <c r="G455" s="84"/>
      <c r="H455" s="87" t="s">
        <v>1300</v>
      </c>
      <c r="I455" s="108" t="s">
        <v>623</v>
      </c>
      <c r="J455" s="108" t="s">
        <v>1292</v>
      </c>
      <c r="K455" s="87"/>
      <c r="L455" s="87"/>
      <c r="M455" s="87"/>
      <c r="N455" s="87"/>
      <c r="O455" s="87"/>
      <c r="P455" s="87"/>
      <c r="Q455" s="87"/>
      <c r="R455" s="87"/>
      <c r="S455" s="87"/>
      <c r="T455" s="87">
        <v>-0.104</v>
      </c>
      <c r="U455" s="109">
        <v>0</v>
      </c>
      <c r="V455" s="109">
        <v>0</v>
      </c>
      <c r="W455" s="109">
        <v>0</v>
      </c>
      <c r="X455" s="313">
        <f t="shared" si="53"/>
        <v>0</v>
      </c>
      <c r="Y455" s="313">
        <f t="shared" si="53"/>
        <v>0</v>
      </c>
      <c r="Z455" s="313">
        <f t="shared" si="53"/>
        <v>0</v>
      </c>
      <c r="AA455" s="313">
        <f t="shared" si="53"/>
        <v>0</v>
      </c>
      <c r="AB455" s="313">
        <f t="shared" si="53"/>
        <v>0</v>
      </c>
      <c r="AC455" s="87"/>
      <c r="AD455" s="109"/>
      <c r="AE455" s="87"/>
      <c r="AF455" s="109">
        <v>1</v>
      </c>
      <c r="AG455" s="109">
        <v>1</v>
      </c>
      <c r="AH455" s="84"/>
      <c r="AI455" s="66"/>
      <c r="AJ455" s="54"/>
      <c r="AK455" s="54"/>
      <c r="AL455" s="54"/>
    </row>
    <row r="456" spans="1:38" outlineLevel="2" x14ac:dyDescent="0.25">
      <c r="A456" s="54"/>
      <c r="B456" s="63"/>
      <c r="C456" s="56">
        <f t="shared" si="52"/>
        <v>3</v>
      </c>
      <c r="D456" s="84"/>
      <c r="E456" s="79"/>
      <c r="F456" s="79" t="s">
        <v>1301</v>
      </c>
      <c r="G456" s="84"/>
      <c r="H456" s="87" t="s">
        <v>1302</v>
      </c>
      <c r="I456" s="108" t="s">
        <v>623</v>
      </c>
      <c r="J456" s="108" t="s">
        <v>1292</v>
      </c>
      <c r="K456" s="87"/>
      <c r="L456" s="87"/>
      <c r="M456" s="87"/>
      <c r="N456" s="87"/>
      <c r="O456" s="87"/>
      <c r="P456" s="87"/>
      <c r="Q456" s="87"/>
      <c r="R456" s="87"/>
      <c r="S456" s="87"/>
      <c r="T456" s="87">
        <v>-0.32100000000000001</v>
      </c>
      <c r="U456" s="109">
        <v>0</v>
      </c>
      <c r="V456" s="109">
        <v>0</v>
      </c>
      <c r="W456" s="109">
        <v>0</v>
      </c>
      <c r="X456" s="313">
        <f t="shared" si="53"/>
        <v>0</v>
      </c>
      <c r="Y456" s="313">
        <f t="shared" si="53"/>
        <v>0</v>
      </c>
      <c r="Z456" s="313">
        <f t="shared" si="53"/>
        <v>0</v>
      </c>
      <c r="AA456" s="313">
        <f t="shared" si="53"/>
        <v>0</v>
      </c>
      <c r="AB456" s="313">
        <f t="shared" si="53"/>
        <v>0</v>
      </c>
      <c r="AC456" s="87"/>
      <c r="AD456" s="109"/>
      <c r="AE456" s="87"/>
      <c r="AF456" s="109">
        <v>1</v>
      </c>
      <c r="AG456" s="109">
        <v>1</v>
      </c>
      <c r="AH456" s="84"/>
      <c r="AI456" s="66"/>
      <c r="AJ456" s="54"/>
      <c r="AK456" s="54"/>
      <c r="AL456" s="54"/>
    </row>
    <row r="457" spans="1:38" outlineLevel="2" x14ac:dyDescent="0.25">
      <c r="A457" s="54"/>
      <c r="B457" s="63"/>
      <c r="C457" s="56">
        <f t="shared" si="52"/>
        <v>3</v>
      </c>
      <c r="D457" s="84"/>
      <c r="E457" s="79"/>
      <c r="F457" s="79" t="s">
        <v>1303</v>
      </c>
      <c r="G457" s="84"/>
      <c r="H457" s="87" t="s">
        <v>1304</v>
      </c>
      <c r="I457" s="108" t="s">
        <v>623</v>
      </c>
      <c r="J457" s="108" t="s">
        <v>1292</v>
      </c>
      <c r="K457" s="87"/>
      <c r="L457" s="87"/>
      <c r="M457" s="87"/>
      <c r="N457" s="87"/>
      <c r="O457" s="87"/>
      <c r="P457" s="87"/>
      <c r="Q457" s="87"/>
      <c r="R457" s="87"/>
      <c r="S457" s="87"/>
      <c r="T457" s="87">
        <v>-0.32100000000000001</v>
      </c>
      <c r="U457" s="323">
        <f>U456</f>
        <v>0</v>
      </c>
      <c r="V457" s="323">
        <f>V456</f>
        <v>0</v>
      </c>
      <c r="W457" s="323">
        <f>W456</f>
        <v>0</v>
      </c>
      <c r="X457" s="323">
        <f t="shared" ref="X457:AB459" si="54">X456</f>
        <v>0</v>
      </c>
      <c r="Y457" s="323">
        <f t="shared" si="54"/>
        <v>0</v>
      </c>
      <c r="Z457" s="323">
        <f t="shared" si="54"/>
        <v>0</v>
      </c>
      <c r="AA457" s="323">
        <f t="shared" si="54"/>
        <v>0</v>
      </c>
      <c r="AB457" s="323">
        <f t="shared" si="54"/>
        <v>0</v>
      </c>
      <c r="AC457" s="87"/>
      <c r="AD457" s="109"/>
      <c r="AE457" s="87"/>
      <c r="AF457" s="109">
        <v>1</v>
      </c>
      <c r="AG457" s="109">
        <v>1</v>
      </c>
      <c r="AH457" s="84"/>
      <c r="AI457" s="66"/>
      <c r="AJ457" s="54"/>
      <c r="AK457" s="54"/>
      <c r="AL457" s="54"/>
    </row>
    <row r="458" spans="1:38" outlineLevel="2" x14ac:dyDescent="0.25">
      <c r="A458" s="54"/>
      <c r="B458" s="63"/>
      <c r="C458" s="56">
        <f t="shared" si="52"/>
        <v>3</v>
      </c>
      <c r="D458" s="84"/>
      <c r="E458" s="79"/>
      <c r="F458" s="79" t="s">
        <v>1305</v>
      </c>
      <c r="G458" s="84"/>
      <c r="H458" s="87" t="s">
        <v>1306</v>
      </c>
      <c r="I458" s="108" t="s">
        <v>623</v>
      </c>
      <c r="J458" s="108" t="s">
        <v>1292</v>
      </c>
      <c r="K458" s="87"/>
      <c r="L458" s="87"/>
      <c r="M458" s="87"/>
      <c r="N458" s="87"/>
      <c r="O458" s="87"/>
      <c r="P458" s="87"/>
      <c r="Q458" s="87"/>
      <c r="R458" s="87"/>
      <c r="S458" s="87"/>
      <c r="T458" s="87">
        <v>-0.32100000000000001</v>
      </c>
      <c r="U458" s="323">
        <f t="shared" ref="U458:W459" si="55">U457</f>
        <v>0</v>
      </c>
      <c r="V458" s="323">
        <f t="shared" si="55"/>
        <v>0</v>
      </c>
      <c r="W458" s="323">
        <f t="shared" si="55"/>
        <v>0</v>
      </c>
      <c r="X458" s="323">
        <f t="shared" si="54"/>
        <v>0</v>
      </c>
      <c r="Y458" s="323">
        <f t="shared" si="54"/>
        <v>0</v>
      </c>
      <c r="Z458" s="323">
        <f t="shared" si="54"/>
        <v>0</v>
      </c>
      <c r="AA458" s="323">
        <f t="shared" si="54"/>
        <v>0</v>
      </c>
      <c r="AB458" s="323">
        <f t="shared" si="54"/>
        <v>0</v>
      </c>
      <c r="AC458" s="87"/>
      <c r="AD458" s="109"/>
      <c r="AE458" s="87"/>
      <c r="AF458" s="109">
        <v>1</v>
      </c>
      <c r="AG458" s="109">
        <v>1</v>
      </c>
      <c r="AH458" s="84"/>
      <c r="AI458" s="66"/>
      <c r="AJ458" s="54"/>
      <c r="AK458" s="54"/>
      <c r="AL458" s="54"/>
    </row>
    <row r="459" spans="1:38" outlineLevel="2" x14ac:dyDescent="0.25">
      <c r="A459" s="54"/>
      <c r="B459" s="63"/>
      <c r="C459" s="56">
        <f t="shared" si="52"/>
        <v>3</v>
      </c>
      <c r="D459" s="84"/>
      <c r="E459" s="79"/>
      <c r="F459" s="79" t="s">
        <v>1307</v>
      </c>
      <c r="G459" s="84"/>
      <c r="H459" s="87" t="s">
        <v>1308</v>
      </c>
      <c r="I459" s="108" t="s">
        <v>623</v>
      </c>
      <c r="J459" s="108" t="s">
        <v>1292</v>
      </c>
      <c r="K459" s="87"/>
      <c r="L459" s="87"/>
      <c r="M459" s="87"/>
      <c r="N459" s="87"/>
      <c r="O459" s="87"/>
      <c r="P459" s="87"/>
      <c r="Q459" s="87"/>
      <c r="R459" s="87"/>
      <c r="S459" s="87"/>
      <c r="T459" s="87">
        <v>-0.32100000000000001</v>
      </c>
      <c r="U459" s="323">
        <f t="shared" si="55"/>
        <v>0</v>
      </c>
      <c r="V459" s="323">
        <f t="shared" si="55"/>
        <v>0</v>
      </c>
      <c r="W459" s="323">
        <f t="shared" si="55"/>
        <v>0</v>
      </c>
      <c r="X459" s="323">
        <f t="shared" si="54"/>
        <v>0</v>
      </c>
      <c r="Y459" s="323">
        <f t="shared" si="54"/>
        <v>0</v>
      </c>
      <c r="Z459" s="323">
        <f t="shared" si="54"/>
        <v>0</v>
      </c>
      <c r="AA459" s="323">
        <f t="shared" si="54"/>
        <v>0</v>
      </c>
      <c r="AB459" s="323">
        <f t="shared" si="54"/>
        <v>0</v>
      </c>
      <c r="AC459" s="87"/>
      <c r="AD459" s="109"/>
      <c r="AE459" s="87"/>
      <c r="AF459" s="109">
        <v>1</v>
      </c>
      <c r="AG459" s="109">
        <v>1</v>
      </c>
      <c r="AH459" s="84"/>
      <c r="AI459" s="66"/>
      <c r="AJ459" s="54"/>
      <c r="AK459" s="54"/>
      <c r="AL459" s="54"/>
    </row>
    <row r="460" spans="1:38" outlineLevel="2" x14ac:dyDescent="0.25">
      <c r="A460" s="54"/>
      <c r="B460" s="63"/>
      <c r="C460" s="56">
        <f t="shared" si="52"/>
        <v>3</v>
      </c>
      <c r="D460" s="84"/>
      <c r="E460" s="79"/>
      <c r="F460" s="79" t="s">
        <v>1309</v>
      </c>
      <c r="G460" s="84"/>
      <c r="H460" s="87" t="s">
        <v>1310</v>
      </c>
      <c r="I460" s="108" t="s">
        <v>623</v>
      </c>
      <c r="J460" s="108" t="s">
        <v>1292</v>
      </c>
      <c r="K460" s="87"/>
      <c r="L460" s="87"/>
      <c r="M460" s="87"/>
      <c r="N460" s="87"/>
      <c r="O460" s="87"/>
      <c r="P460" s="87"/>
      <c r="Q460" s="87"/>
      <c r="R460" s="87"/>
      <c r="S460" s="87"/>
      <c r="T460" s="87">
        <v>0</v>
      </c>
      <c r="U460" s="109">
        <v>0</v>
      </c>
      <c r="V460" s="109">
        <v>0</v>
      </c>
      <c r="W460" s="109">
        <v>0</v>
      </c>
      <c r="X460" s="313">
        <f t="shared" si="53"/>
        <v>0</v>
      </c>
      <c r="Y460" s="313">
        <f t="shared" si="53"/>
        <v>0</v>
      </c>
      <c r="Z460" s="313">
        <f t="shared" si="53"/>
        <v>0</v>
      </c>
      <c r="AA460" s="313">
        <f t="shared" si="53"/>
        <v>0</v>
      </c>
      <c r="AB460" s="313">
        <f t="shared" si="53"/>
        <v>0</v>
      </c>
      <c r="AC460" s="87"/>
      <c r="AD460" s="109"/>
      <c r="AE460" s="87"/>
      <c r="AF460" s="109">
        <v>1</v>
      </c>
      <c r="AG460" s="109">
        <v>1</v>
      </c>
      <c r="AH460" s="84"/>
      <c r="AI460" s="66"/>
      <c r="AJ460" s="54"/>
      <c r="AK460" s="54"/>
      <c r="AL460" s="54"/>
    </row>
    <row r="461" spans="1:38" outlineLevel="2" x14ac:dyDescent="0.25">
      <c r="A461" s="54"/>
      <c r="B461" s="63"/>
      <c r="C461" s="56">
        <f t="shared" si="52"/>
        <v>3</v>
      </c>
      <c r="D461" s="84"/>
      <c r="E461" s="79"/>
      <c r="F461" s="79" t="s">
        <v>1311</v>
      </c>
      <c r="G461" s="84"/>
      <c r="H461" s="87" t="s">
        <v>1312</v>
      </c>
      <c r="I461" s="108" t="s">
        <v>623</v>
      </c>
      <c r="J461" s="108" t="s">
        <v>1292</v>
      </c>
      <c r="K461" s="87"/>
      <c r="L461" s="87"/>
      <c r="M461" s="87"/>
      <c r="N461" s="87"/>
      <c r="O461" s="87"/>
      <c r="P461" s="87"/>
      <c r="Q461" s="87"/>
      <c r="R461" s="87"/>
      <c r="S461" s="87"/>
      <c r="T461" s="87">
        <v>0</v>
      </c>
      <c r="U461" s="109">
        <v>0</v>
      </c>
      <c r="V461" s="109">
        <v>0</v>
      </c>
      <c r="W461" s="109">
        <v>0</v>
      </c>
      <c r="X461" s="313">
        <f t="shared" si="53"/>
        <v>0</v>
      </c>
      <c r="Y461" s="313">
        <f t="shared" si="53"/>
        <v>0</v>
      </c>
      <c r="Z461" s="313">
        <f t="shared" si="53"/>
        <v>0</v>
      </c>
      <c r="AA461" s="313">
        <f t="shared" si="53"/>
        <v>0</v>
      </c>
      <c r="AB461" s="313">
        <f t="shared" si="53"/>
        <v>0</v>
      </c>
      <c r="AC461" s="87"/>
      <c r="AD461" s="109"/>
      <c r="AE461" s="87"/>
      <c r="AF461" s="109">
        <v>1</v>
      </c>
      <c r="AG461" s="109">
        <v>1</v>
      </c>
      <c r="AH461" s="84"/>
      <c r="AI461" s="66"/>
      <c r="AJ461" s="54"/>
      <c r="AK461" s="54"/>
      <c r="AL461" s="54"/>
    </row>
    <row r="462" spans="1:38" outlineLevel="2" x14ac:dyDescent="0.25">
      <c r="A462" s="54"/>
      <c r="B462" s="63"/>
      <c r="C462" s="56">
        <f t="shared" si="52"/>
        <v>3</v>
      </c>
      <c r="D462" s="84"/>
      <c r="E462" s="79"/>
      <c r="F462" s="79" t="s">
        <v>1313</v>
      </c>
      <c r="G462" s="84"/>
      <c r="H462" s="87" t="s">
        <v>1314</v>
      </c>
      <c r="I462" s="108" t="s">
        <v>623</v>
      </c>
      <c r="J462" s="108" t="s">
        <v>1292</v>
      </c>
      <c r="K462" s="87"/>
      <c r="L462" s="87"/>
      <c r="M462" s="87"/>
      <c r="N462" s="87"/>
      <c r="O462" s="87"/>
      <c r="P462" s="87"/>
      <c r="Q462" s="87"/>
      <c r="R462" s="87"/>
      <c r="S462" s="87"/>
      <c r="T462" s="87">
        <v>-1.7000000000000001E-2</v>
      </c>
      <c r="U462" s="109">
        <v>0</v>
      </c>
      <c r="V462" s="109">
        <v>0</v>
      </c>
      <c r="W462" s="109">
        <v>0</v>
      </c>
      <c r="X462" s="313">
        <f t="shared" si="53"/>
        <v>0</v>
      </c>
      <c r="Y462" s="313">
        <f t="shared" si="53"/>
        <v>0</v>
      </c>
      <c r="Z462" s="313">
        <f t="shared" si="53"/>
        <v>0</v>
      </c>
      <c r="AA462" s="313">
        <f t="shared" si="53"/>
        <v>0</v>
      </c>
      <c r="AB462" s="313">
        <f t="shared" si="53"/>
        <v>0</v>
      </c>
      <c r="AC462" s="87"/>
      <c r="AD462" s="109"/>
      <c r="AE462" s="87"/>
      <c r="AF462" s="109">
        <v>1</v>
      </c>
      <c r="AG462" s="109">
        <v>1</v>
      </c>
      <c r="AH462" s="84"/>
      <c r="AI462" s="66"/>
      <c r="AJ462" s="54"/>
      <c r="AK462" s="54"/>
      <c r="AL462" s="54"/>
    </row>
    <row r="463" spans="1:38" outlineLevel="2" x14ac:dyDescent="0.25">
      <c r="A463" s="54"/>
      <c r="B463" s="63"/>
      <c r="C463" s="56">
        <f t="shared" si="52"/>
        <v>3</v>
      </c>
      <c r="D463" s="84"/>
      <c r="E463" s="79"/>
      <c r="F463" s="79" t="s">
        <v>1315</v>
      </c>
      <c r="G463" s="84"/>
      <c r="H463" s="87" t="s">
        <v>1316</v>
      </c>
      <c r="I463" s="108" t="s">
        <v>623</v>
      </c>
      <c r="J463" s="108" t="s">
        <v>1292</v>
      </c>
      <c r="K463" s="87"/>
      <c r="L463" s="87"/>
      <c r="M463" s="87"/>
      <c r="N463" s="87"/>
      <c r="O463" s="87"/>
      <c r="P463" s="87"/>
      <c r="Q463" s="87"/>
      <c r="R463" s="87"/>
      <c r="S463" s="87"/>
      <c r="T463" s="87">
        <v>-0.39700000000000002</v>
      </c>
      <c r="U463" s="109">
        <v>0</v>
      </c>
      <c r="V463" s="109">
        <v>0</v>
      </c>
      <c r="W463" s="109">
        <v>0</v>
      </c>
      <c r="X463" s="313">
        <f t="shared" si="53"/>
        <v>0</v>
      </c>
      <c r="Y463" s="313">
        <f t="shared" si="53"/>
        <v>0</v>
      </c>
      <c r="Z463" s="313">
        <f t="shared" si="53"/>
        <v>0</v>
      </c>
      <c r="AA463" s="313">
        <f t="shared" si="53"/>
        <v>0</v>
      </c>
      <c r="AB463" s="313">
        <f t="shared" si="53"/>
        <v>0</v>
      </c>
      <c r="AC463" s="87"/>
      <c r="AD463" s="109"/>
      <c r="AE463" s="87"/>
      <c r="AF463" s="109">
        <v>1</v>
      </c>
      <c r="AG463" s="109">
        <v>1</v>
      </c>
      <c r="AH463" s="84"/>
      <c r="AI463" s="66"/>
      <c r="AJ463" s="54"/>
      <c r="AK463" s="54"/>
      <c r="AL463" s="54"/>
    </row>
    <row r="464" spans="1:38" outlineLevel="2" x14ac:dyDescent="0.25">
      <c r="A464" s="54"/>
      <c r="B464" s="63"/>
      <c r="C464" s="56">
        <f t="shared" si="52"/>
        <v>3</v>
      </c>
      <c r="D464" s="84"/>
      <c r="E464" s="79"/>
      <c r="F464" s="79" t="s">
        <v>1317</v>
      </c>
      <c r="G464" s="84"/>
      <c r="H464" s="87" t="s">
        <v>1318</v>
      </c>
      <c r="I464" s="108" t="s">
        <v>623</v>
      </c>
      <c r="J464" s="108" t="s">
        <v>1292</v>
      </c>
      <c r="K464" s="87"/>
      <c r="L464" s="87"/>
      <c r="M464" s="87"/>
      <c r="N464" s="87"/>
      <c r="O464" s="87"/>
      <c r="P464" s="87"/>
      <c r="Q464" s="87"/>
      <c r="R464" s="87"/>
      <c r="S464" s="87"/>
      <c r="T464" s="87">
        <v>-0.74199999999999999</v>
      </c>
      <c r="U464" s="109">
        <v>0</v>
      </c>
      <c r="V464" s="109">
        <v>0</v>
      </c>
      <c r="W464" s="109">
        <v>0</v>
      </c>
      <c r="X464" s="313">
        <f t="shared" si="53"/>
        <v>0</v>
      </c>
      <c r="Y464" s="313">
        <f t="shared" si="53"/>
        <v>0</v>
      </c>
      <c r="Z464" s="313">
        <f t="shared" si="53"/>
        <v>0</v>
      </c>
      <c r="AA464" s="313">
        <f t="shared" si="53"/>
        <v>0</v>
      </c>
      <c r="AB464" s="313">
        <f t="shared" si="53"/>
        <v>0</v>
      </c>
      <c r="AC464" s="87"/>
      <c r="AD464" s="109"/>
      <c r="AE464" s="87"/>
      <c r="AF464" s="109">
        <v>1</v>
      </c>
      <c r="AG464" s="109">
        <v>1</v>
      </c>
      <c r="AH464" s="84"/>
      <c r="AI464" s="66"/>
      <c r="AJ464" s="54"/>
      <c r="AK464" s="54"/>
      <c r="AL464" s="54"/>
    </row>
    <row r="465" spans="1:38" outlineLevel="2" x14ac:dyDescent="0.25">
      <c r="A465" s="54"/>
      <c r="B465" s="63"/>
      <c r="C465" s="56">
        <f t="shared" si="52"/>
        <v>3</v>
      </c>
      <c r="D465" s="84"/>
      <c r="E465" s="79"/>
      <c r="F465" s="79" t="s">
        <v>1319</v>
      </c>
      <c r="G465" s="84"/>
      <c r="H465" s="87" t="s">
        <v>1320</v>
      </c>
      <c r="I465" s="108" t="s">
        <v>623</v>
      </c>
      <c r="J465" s="108" t="s">
        <v>1292</v>
      </c>
      <c r="K465" s="87"/>
      <c r="L465" s="87"/>
      <c r="M465" s="87"/>
      <c r="N465" s="87"/>
      <c r="O465" s="87"/>
      <c r="P465" s="87"/>
      <c r="Q465" s="87"/>
      <c r="R465" s="87"/>
      <c r="S465" s="87"/>
      <c r="T465" s="87">
        <v>-0.74199999999999999</v>
      </c>
      <c r="U465" s="323">
        <f t="shared" ref="U465:AB467" si="56">U464</f>
        <v>0</v>
      </c>
      <c r="V465" s="323">
        <f t="shared" si="56"/>
        <v>0</v>
      </c>
      <c r="W465" s="323">
        <f t="shared" si="56"/>
        <v>0</v>
      </c>
      <c r="X465" s="323">
        <f t="shared" si="56"/>
        <v>0</v>
      </c>
      <c r="Y465" s="323">
        <f t="shared" si="56"/>
        <v>0</v>
      </c>
      <c r="Z465" s="323">
        <f t="shared" si="56"/>
        <v>0</v>
      </c>
      <c r="AA465" s="323">
        <f t="shared" si="56"/>
        <v>0</v>
      </c>
      <c r="AB465" s="323">
        <f t="shared" si="56"/>
        <v>0</v>
      </c>
      <c r="AC465" s="87"/>
      <c r="AD465" s="109"/>
      <c r="AE465" s="87"/>
      <c r="AF465" s="109">
        <v>1</v>
      </c>
      <c r="AG465" s="109">
        <v>1</v>
      </c>
      <c r="AH465" s="84"/>
      <c r="AI465" s="66"/>
      <c r="AJ465" s="54"/>
      <c r="AK465" s="54"/>
      <c r="AL465" s="54"/>
    </row>
    <row r="466" spans="1:38" outlineLevel="2" x14ac:dyDescent="0.25">
      <c r="A466" s="54"/>
      <c r="B466" s="63"/>
      <c r="C466" s="56">
        <f t="shared" si="52"/>
        <v>3</v>
      </c>
      <c r="D466" s="84"/>
      <c r="E466" s="79"/>
      <c r="F466" s="79" t="s">
        <v>1321</v>
      </c>
      <c r="G466" s="84"/>
      <c r="H466" s="87" t="s">
        <v>1322</v>
      </c>
      <c r="I466" s="108" t="s">
        <v>623</v>
      </c>
      <c r="J466" s="108" t="s">
        <v>1292</v>
      </c>
      <c r="K466" s="87"/>
      <c r="L466" s="87"/>
      <c r="M466" s="87"/>
      <c r="N466" s="87"/>
      <c r="O466" s="87"/>
      <c r="P466" s="87"/>
      <c r="Q466" s="87"/>
      <c r="R466" s="87"/>
      <c r="S466" s="87"/>
      <c r="T466" s="87">
        <v>-0.74199999999999999</v>
      </c>
      <c r="U466" s="323">
        <f t="shared" si="56"/>
        <v>0</v>
      </c>
      <c r="V466" s="323">
        <f t="shared" si="56"/>
        <v>0</v>
      </c>
      <c r="W466" s="323">
        <f t="shared" si="56"/>
        <v>0</v>
      </c>
      <c r="X466" s="323">
        <f t="shared" si="56"/>
        <v>0</v>
      </c>
      <c r="Y466" s="323">
        <f t="shared" si="56"/>
        <v>0</v>
      </c>
      <c r="Z466" s="323">
        <f t="shared" si="56"/>
        <v>0</v>
      </c>
      <c r="AA466" s="323">
        <f t="shared" si="56"/>
        <v>0</v>
      </c>
      <c r="AB466" s="323">
        <f t="shared" si="56"/>
        <v>0</v>
      </c>
      <c r="AC466" s="87"/>
      <c r="AD466" s="109"/>
      <c r="AE466" s="87"/>
      <c r="AF466" s="109">
        <v>1</v>
      </c>
      <c r="AG466" s="109">
        <v>1</v>
      </c>
      <c r="AH466" s="84"/>
      <c r="AI466" s="66"/>
      <c r="AJ466" s="54"/>
      <c r="AK466" s="54"/>
      <c r="AL466" s="54"/>
    </row>
    <row r="467" spans="1:38" outlineLevel="2" collapsed="1" x14ac:dyDescent="0.25">
      <c r="A467" s="54"/>
      <c r="B467" s="63"/>
      <c r="C467" s="56">
        <f t="shared" si="52"/>
        <v>3</v>
      </c>
      <c r="D467" s="84"/>
      <c r="E467" s="79"/>
      <c r="F467" s="79" t="s">
        <v>1323</v>
      </c>
      <c r="G467" s="84"/>
      <c r="H467" s="87" t="s">
        <v>1324</v>
      </c>
      <c r="I467" s="108" t="s">
        <v>623</v>
      </c>
      <c r="J467" s="108" t="s">
        <v>1292</v>
      </c>
      <c r="K467" s="87"/>
      <c r="L467" s="87"/>
      <c r="M467" s="87"/>
      <c r="N467" s="87"/>
      <c r="O467" s="87"/>
      <c r="P467" s="87"/>
      <c r="Q467" s="87"/>
      <c r="R467" s="87"/>
      <c r="S467" s="87"/>
      <c r="T467" s="87">
        <v>-0.74199999999999999</v>
      </c>
      <c r="U467" s="323">
        <f t="shared" si="56"/>
        <v>0</v>
      </c>
      <c r="V467" s="323">
        <f t="shared" si="56"/>
        <v>0</v>
      </c>
      <c r="W467" s="323">
        <f t="shared" si="56"/>
        <v>0</v>
      </c>
      <c r="X467" s="323">
        <f t="shared" si="56"/>
        <v>0</v>
      </c>
      <c r="Y467" s="323">
        <f t="shared" si="56"/>
        <v>0</v>
      </c>
      <c r="Z467" s="323">
        <f t="shared" si="56"/>
        <v>0</v>
      </c>
      <c r="AA467" s="323">
        <f t="shared" si="56"/>
        <v>0</v>
      </c>
      <c r="AB467" s="323">
        <f t="shared" si="56"/>
        <v>0</v>
      </c>
      <c r="AC467" s="87"/>
      <c r="AD467" s="109"/>
      <c r="AE467" s="87"/>
      <c r="AF467" s="109">
        <v>1</v>
      </c>
      <c r="AG467" s="109">
        <v>1</v>
      </c>
      <c r="AH467" s="84"/>
      <c r="AI467" s="66"/>
      <c r="AJ467" s="54"/>
      <c r="AK467" s="54"/>
      <c r="AL467" s="54"/>
    </row>
    <row r="468" spans="1:38" hidden="1" outlineLevel="3" x14ac:dyDescent="0.25">
      <c r="A468" s="54"/>
      <c r="B468" s="63"/>
      <c r="C468" s="56">
        <f t="shared" si="52"/>
        <v>3</v>
      </c>
      <c r="D468" s="84"/>
      <c r="E468" s="79"/>
      <c r="F468" s="79" t="s">
        <v>1325</v>
      </c>
      <c r="G468" s="84"/>
      <c r="H468" s="87" t="s">
        <v>727</v>
      </c>
      <c r="I468" s="108"/>
      <c r="J468" s="108"/>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1326</v>
      </c>
      <c r="G469" s="84"/>
      <c r="H469" s="87"/>
      <c r="I469" s="108"/>
      <c r="J469" s="108"/>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1327</v>
      </c>
      <c r="G470" s="84"/>
      <c r="H470" s="87"/>
      <c r="I470" s="108"/>
      <c r="J470" s="108"/>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1328</v>
      </c>
      <c r="G471" s="84"/>
      <c r="H471" s="87"/>
      <c r="I471" s="108"/>
      <c r="J471" s="108"/>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1329</v>
      </c>
      <c r="G472" s="84"/>
      <c r="H472" s="87"/>
      <c r="I472" s="108"/>
      <c r="J472" s="108"/>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1330</v>
      </c>
      <c r="G473" s="84"/>
      <c r="H473" s="87"/>
      <c r="I473" s="108"/>
      <c r="J473" s="108"/>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1331</v>
      </c>
      <c r="G474" s="84"/>
      <c r="H474" s="87"/>
      <c r="I474" s="108"/>
      <c r="J474" s="108"/>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1332</v>
      </c>
      <c r="G475" s="84"/>
      <c r="H475" s="87"/>
      <c r="I475" s="108"/>
      <c r="J475" s="108"/>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25">
      <c r="A476" s="54"/>
      <c r="B476" s="63"/>
      <c r="C476" s="56">
        <f t="shared" si="52"/>
        <v>3</v>
      </c>
      <c r="D476" s="84"/>
      <c r="E476" s="79"/>
      <c r="F476" s="79" t="s">
        <v>1333</v>
      </c>
      <c r="G476" s="84"/>
      <c r="H476" s="87" t="s">
        <v>1334</v>
      </c>
      <c r="I476" s="108" t="s">
        <v>623</v>
      </c>
      <c r="J476" s="108" t="s">
        <v>1335</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9" t="s">
        <v>1336</v>
      </c>
      <c r="AE476" s="87"/>
      <c r="AF476" s="109">
        <v>1</v>
      </c>
      <c r="AG476" s="109">
        <v>1</v>
      </c>
      <c r="AH476" s="84"/>
      <c r="AI476" s="66"/>
      <c r="AJ476" s="54"/>
      <c r="AK476" s="54"/>
      <c r="AL476" s="54"/>
    </row>
    <row r="477" spans="1:38" outlineLevel="2" x14ac:dyDescent="0.25">
      <c r="A477" s="54"/>
      <c r="B477" s="63"/>
      <c r="C477" s="56">
        <f t="shared" si="52"/>
        <v>3</v>
      </c>
      <c r="D477" s="84"/>
      <c r="E477" s="79"/>
      <c r="F477" s="79" t="s">
        <v>1337</v>
      </c>
      <c r="G477" s="84"/>
      <c r="H477" s="87" t="s">
        <v>1338</v>
      </c>
      <c r="I477" s="108" t="s">
        <v>623</v>
      </c>
      <c r="J477" s="108" t="s">
        <v>1335</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9"/>
      <c r="AE477" s="87"/>
      <c r="AF477" s="109">
        <v>1</v>
      </c>
      <c r="AG477" s="109">
        <v>1</v>
      </c>
      <c r="AH477" s="84"/>
      <c r="AI477" s="66"/>
      <c r="AJ477" s="54"/>
      <c r="AK477" s="54"/>
      <c r="AL477" s="54"/>
    </row>
    <row r="478" spans="1:38" outlineLevel="2" x14ac:dyDescent="0.25">
      <c r="A478" s="54"/>
      <c r="B478" s="63"/>
      <c r="C478" s="56">
        <f t="shared" si="52"/>
        <v>3</v>
      </c>
      <c r="D478" s="84"/>
      <c r="E478" s="79"/>
      <c r="F478" s="79" t="s">
        <v>1339</v>
      </c>
      <c r="G478" s="84"/>
      <c r="H478" s="87" t="s">
        <v>1340</v>
      </c>
      <c r="I478" s="108" t="s">
        <v>623</v>
      </c>
      <c r="J478" s="108" t="s">
        <v>1335</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9"/>
      <c r="AE478" s="87"/>
      <c r="AF478" s="109">
        <v>1</v>
      </c>
      <c r="AG478" s="109">
        <v>1</v>
      </c>
      <c r="AH478" s="84"/>
      <c r="AI478" s="66"/>
      <c r="AJ478" s="54"/>
      <c r="AK478" s="54"/>
      <c r="AL478" s="54"/>
    </row>
    <row r="479" spans="1:38" outlineLevel="2" x14ac:dyDescent="0.25">
      <c r="A479" s="54"/>
      <c r="B479" s="63"/>
      <c r="C479" s="56">
        <f t="shared" si="52"/>
        <v>3</v>
      </c>
      <c r="D479" s="84"/>
      <c r="E479" s="79"/>
      <c r="F479" s="79" t="s">
        <v>1341</v>
      </c>
      <c r="G479" s="84"/>
      <c r="H479" s="87" t="s">
        <v>1342</v>
      </c>
      <c r="I479" s="108" t="s">
        <v>623</v>
      </c>
      <c r="J479" s="108" t="s">
        <v>1335</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9"/>
      <c r="AE479" s="87"/>
      <c r="AF479" s="109">
        <v>1</v>
      </c>
      <c r="AG479" s="109">
        <v>1</v>
      </c>
      <c r="AH479" s="84"/>
      <c r="AI479" s="66"/>
      <c r="AJ479" s="54"/>
      <c r="AK479" s="54"/>
      <c r="AL479" s="54"/>
    </row>
    <row r="480" spans="1:38" outlineLevel="2" x14ac:dyDescent="0.25">
      <c r="A480" s="54"/>
      <c r="B480" s="63"/>
      <c r="C480" s="56">
        <f t="shared" si="52"/>
        <v>3</v>
      </c>
      <c r="D480" s="84"/>
      <c r="E480" s="79"/>
      <c r="F480" s="79" t="s">
        <v>1343</v>
      </c>
      <c r="G480" s="84"/>
      <c r="H480" s="87" t="s">
        <v>1344</v>
      </c>
      <c r="I480" s="108" t="s">
        <v>623</v>
      </c>
      <c r="J480" s="108" t="s">
        <v>1335</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9"/>
      <c r="AE480" s="87"/>
      <c r="AF480" s="109">
        <v>1</v>
      </c>
      <c r="AG480" s="109">
        <v>1</v>
      </c>
      <c r="AH480" s="84"/>
      <c r="AI480" s="66"/>
      <c r="AJ480" s="54"/>
      <c r="AK480" s="54"/>
      <c r="AL480" s="54"/>
    </row>
    <row r="481" spans="1:38" outlineLevel="2" x14ac:dyDescent="0.25">
      <c r="A481" s="54"/>
      <c r="B481" s="63"/>
      <c r="C481" s="56">
        <f t="shared" si="52"/>
        <v>3</v>
      </c>
      <c r="D481" s="84"/>
      <c r="E481" s="79"/>
      <c r="F481" s="79" t="s">
        <v>1345</v>
      </c>
      <c r="G481" s="84"/>
      <c r="H481" s="87" t="s">
        <v>1346</v>
      </c>
      <c r="I481" s="108" t="s">
        <v>623</v>
      </c>
      <c r="J481" s="108" t="s">
        <v>1335</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9"/>
      <c r="AE481" s="87"/>
      <c r="AF481" s="109">
        <v>1</v>
      </c>
      <c r="AG481" s="109">
        <v>1</v>
      </c>
      <c r="AH481" s="84"/>
      <c r="AI481" s="66"/>
      <c r="AJ481" s="54"/>
      <c r="AK481" s="54"/>
      <c r="AL481" s="54"/>
    </row>
    <row r="482" spans="1:38" outlineLevel="2" x14ac:dyDescent="0.25">
      <c r="A482" s="54"/>
      <c r="B482" s="63"/>
      <c r="C482" s="56">
        <f t="shared" si="52"/>
        <v>3</v>
      </c>
      <c r="D482" s="84"/>
      <c r="E482" s="79"/>
      <c r="F482" s="79" t="s">
        <v>1347</v>
      </c>
      <c r="G482" s="84"/>
      <c r="H482" s="87" t="s">
        <v>1348</v>
      </c>
      <c r="I482" s="108" t="s">
        <v>623</v>
      </c>
      <c r="J482" s="108" t="s">
        <v>1335</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9"/>
      <c r="AE482" s="87"/>
      <c r="AF482" s="109">
        <v>1</v>
      </c>
      <c r="AG482" s="109">
        <v>1</v>
      </c>
      <c r="AH482" s="84"/>
      <c r="AI482" s="66"/>
      <c r="AJ482" s="54"/>
      <c r="AK482" s="54"/>
      <c r="AL482" s="54"/>
    </row>
    <row r="483" spans="1:38" outlineLevel="2" x14ac:dyDescent="0.25">
      <c r="A483" s="54"/>
      <c r="B483" s="63"/>
      <c r="C483" s="56">
        <f t="shared" si="52"/>
        <v>3</v>
      </c>
      <c r="D483" s="84"/>
      <c r="E483" s="79"/>
      <c r="F483" s="79" t="s">
        <v>1349</v>
      </c>
      <c r="G483" s="84"/>
      <c r="H483" s="87" t="s">
        <v>1350</v>
      </c>
      <c r="I483" s="108" t="s">
        <v>623</v>
      </c>
      <c r="J483" s="108" t="s">
        <v>1335</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9"/>
      <c r="AE483" s="87"/>
      <c r="AF483" s="109">
        <v>1</v>
      </c>
      <c r="AG483" s="109">
        <v>1</v>
      </c>
      <c r="AH483" s="84"/>
      <c r="AI483" s="66"/>
      <c r="AJ483" s="54"/>
      <c r="AK483" s="54"/>
      <c r="AL483" s="54"/>
    </row>
    <row r="484" spans="1:38" outlineLevel="2" x14ac:dyDescent="0.25">
      <c r="A484" s="54"/>
      <c r="B484" s="63"/>
      <c r="C484" s="56">
        <f t="shared" ref="C484:C507" si="57">INT($C$40)+2</f>
        <v>3</v>
      </c>
      <c r="D484" s="84"/>
      <c r="E484" s="79"/>
      <c r="F484" s="79" t="s">
        <v>1351</v>
      </c>
      <c r="G484" s="84"/>
      <c r="H484" s="87" t="s">
        <v>2418</v>
      </c>
      <c r="I484" s="108" t="s">
        <v>623</v>
      </c>
      <c r="J484" s="108" t="s">
        <v>1292</v>
      </c>
      <c r="K484" s="87"/>
      <c r="L484" s="87"/>
      <c r="M484" s="87"/>
      <c r="N484" s="87"/>
      <c r="O484" s="87"/>
      <c r="P484" s="87"/>
      <c r="Q484" s="87"/>
      <c r="R484" s="87"/>
      <c r="S484" s="87"/>
      <c r="T484" s="87"/>
      <c r="U484" s="324">
        <v>0</v>
      </c>
      <c r="V484" s="324">
        <v>0</v>
      </c>
      <c r="W484" s="324">
        <v>0</v>
      </c>
      <c r="X484" s="313">
        <f t="shared" ref="X484:AB507" si="58">W484</f>
        <v>0</v>
      </c>
      <c r="Y484" s="313">
        <f t="shared" si="58"/>
        <v>0</v>
      </c>
      <c r="Z484" s="313">
        <f t="shared" si="58"/>
        <v>0</v>
      </c>
      <c r="AA484" s="313">
        <f t="shared" si="58"/>
        <v>0</v>
      </c>
      <c r="AB484" s="313">
        <f t="shared" si="58"/>
        <v>0</v>
      </c>
      <c r="AC484" s="87"/>
      <c r="AD484" s="109"/>
      <c r="AE484" s="87"/>
      <c r="AF484" s="109">
        <v>1</v>
      </c>
      <c r="AG484" s="109">
        <v>1</v>
      </c>
      <c r="AH484" s="84"/>
      <c r="AI484" s="66"/>
      <c r="AJ484" s="54"/>
      <c r="AK484" s="54"/>
      <c r="AL484" s="54"/>
    </row>
    <row r="485" spans="1:38" outlineLevel="2" x14ac:dyDescent="0.25">
      <c r="A485" s="54"/>
      <c r="B485" s="63"/>
      <c r="C485" s="56">
        <f t="shared" si="57"/>
        <v>3</v>
      </c>
      <c r="D485" s="84"/>
      <c r="E485" s="79"/>
      <c r="F485" s="79" t="s">
        <v>1352</v>
      </c>
      <c r="G485" s="84"/>
      <c r="H485" s="87" t="s">
        <v>1353</v>
      </c>
      <c r="I485" s="108" t="s">
        <v>623</v>
      </c>
      <c r="J485" s="108" t="s">
        <v>1292</v>
      </c>
      <c r="K485" s="87"/>
      <c r="L485" s="87"/>
      <c r="M485" s="87"/>
      <c r="N485" s="87"/>
      <c r="O485" s="87"/>
      <c r="P485" s="87"/>
      <c r="Q485" s="87"/>
      <c r="R485" s="87"/>
      <c r="S485" s="87"/>
      <c r="T485" s="87"/>
      <c r="U485" s="324">
        <v>0</v>
      </c>
      <c r="V485" s="324">
        <v>0</v>
      </c>
      <c r="W485" s="324">
        <v>0</v>
      </c>
      <c r="X485" s="313">
        <f t="shared" si="58"/>
        <v>0</v>
      </c>
      <c r="Y485" s="313">
        <f t="shared" si="58"/>
        <v>0</v>
      </c>
      <c r="Z485" s="313">
        <f t="shared" si="58"/>
        <v>0</v>
      </c>
      <c r="AA485" s="313">
        <f t="shared" si="58"/>
        <v>0</v>
      </c>
      <c r="AB485" s="313">
        <f t="shared" si="58"/>
        <v>0</v>
      </c>
      <c r="AC485" s="87"/>
      <c r="AD485" s="109"/>
      <c r="AE485" s="87"/>
      <c r="AF485" s="109">
        <v>1</v>
      </c>
      <c r="AG485" s="109">
        <v>1</v>
      </c>
      <c r="AH485" s="84"/>
      <c r="AI485" s="66"/>
      <c r="AJ485" s="54"/>
      <c r="AK485" s="54"/>
      <c r="AL485" s="54"/>
    </row>
    <row r="486" spans="1:38" outlineLevel="2" x14ac:dyDescent="0.25">
      <c r="A486" s="54"/>
      <c r="B486" s="63"/>
      <c r="C486" s="56">
        <f t="shared" si="57"/>
        <v>3</v>
      </c>
      <c r="D486" s="84"/>
      <c r="E486" s="79"/>
      <c r="F486" s="79" t="s">
        <v>1354</v>
      </c>
      <c r="G486" s="84"/>
      <c r="H486" s="87" t="s">
        <v>1355</v>
      </c>
      <c r="I486" s="108" t="s">
        <v>623</v>
      </c>
      <c r="J486" s="108" t="s">
        <v>1292</v>
      </c>
      <c r="K486" s="87"/>
      <c r="L486" s="87"/>
      <c r="M486" s="87"/>
      <c r="N486" s="87"/>
      <c r="O486" s="87"/>
      <c r="P486" s="87"/>
      <c r="Q486" s="87"/>
      <c r="R486" s="87"/>
      <c r="S486" s="87"/>
      <c r="T486" s="87"/>
      <c r="U486" s="324">
        <v>0</v>
      </c>
      <c r="V486" s="324">
        <v>0</v>
      </c>
      <c r="W486" s="324">
        <v>0</v>
      </c>
      <c r="X486" s="313">
        <f t="shared" si="58"/>
        <v>0</v>
      </c>
      <c r="Y486" s="313">
        <f t="shared" si="58"/>
        <v>0</v>
      </c>
      <c r="Z486" s="313">
        <f t="shared" si="58"/>
        <v>0</v>
      </c>
      <c r="AA486" s="313">
        <f t="shared" si="58"/>
        <v>0</v>
      </c>
      <c r="AB486" s="313">
        <f t="shared" si="58"/>
        <v>0</v>
      </c>
      <c r="AC486" s="87"/>
      <c r="AD486" s="109"/>
      <c r="AE486" s="87"/>
      <c r="AF486" s="109">
        <v>1</v>
      </c>
      <c r="AG486" s="109">
        <v>1</v>
      </c>
      <c r="AH486" s="84"/>
      <c r="AI486" s="66"/>
      <c r="AJ486" s="54"/>
      <c r="AK486" s="54"/>
      <c r="AL486" s="54"/>
    </row>
    <row r="487" spans="1:38" outlineLevel="2" x14ac:dyDescent="0.25">
      <c r="A487" s="54"/>
      <c r="B487" s="63"/>
      <c r="C487" s="56">
        <f t="shared" si="57"/>
        <v>3</v>
      </c>
      <c r="D487" s="84"/>
      <c r="E487" s="79"/>
      <c r="F487" s="79" t="s">
        <v>1356</v>
      </c>
      <c r="G487" s="84"/>
      <c r="H487" s="87" t="s">
        <v>1357</v>
      </c>
      <c r="I487" s="108" t="s">
        <v>623</v>
      </c>
      <c r="J487" s="108" t="s">
        <v>1292</v>
      </c>
      <c r="K487" s="87"/>
      <c r="L487" s="87"/>
      <c r="M487" s="87"/>
      <c r="N487" s="87"/>
      <c r="O487" s="87"/>
      <c r="P487" s="87"/>
      <c r="Q487" s="87"/>
      <c r="R487" s="87"/>
      <c r="S487" s="87"/>
      <c r="T487" s="87"/>
      <c r="U487" s="324">
        <v>0</v>
      </c>
      <c r="V487" s="324">
        <v>0</v>
      </c>
      <c r="W487" s="324">
        <v>0</v>
      </c>
      <c r="X487" s="313">
        <f t="shared" si="58"/>
        <v>0</v>
      </c>
      <c r="Y487" s="313">
        <f t="shared" si="58"/>
        <v>0</v>
      </c>
      <c r="Z487" s="313">
        <f t="shared" si="58"/>
        <v>0</v>
      </c>
      <c r="AA487" s="313">
        <f t="shared" si="58"/>
        <v>0</v>
      </c>
      <c r="AB487" s="313">
        <f t="shared" si="58"/>
        <v>0</v>
      </c>
      <c r="AC487" s="87"/>
      <c r="AD487" s="109"/>
      <c r="AE487" s="87"/>
      <c r="AF487" s="109">
        <v>1</v>
      </c>
      <c r="AG487" s="109">
        <v>1</v>
      </c>
      <c r="AH487" s="84"/>
      <c r="AI487" s="66"/>
      <c r="AJ487" s="54"/>
      <c r="AK487" s="54"/>
      <c r="AL487" s="54"/>
    </row>
    <row r="488" spans="1:38" outlineLevel="2" x14ac:dyDescent="0.25">
      <c r="A488" s="54"/>
      <c r="B488" s="63"/>
      <c r="C488" s="56">
        <f t="shared" si="57"/>
        <v>3</v>
      </c>
      <c r="D488" s="84"/>
      <c r="E488" s="79"/>
      <c r="F488" s="79" t="s">
        <v>1358</v>
      </c>
      <c r="G488" s="84"/>
      <c r="H488" s="87" t="s">
        <v>1359</v>
      </c>
      <c r="I488" s="108" t="s">
        <v>623</v>
      </c>
      <c r="J488" s="108" t="s">
        <v>1292</v>
      </c>
      <c r="K488" s="87"/>
      <c r="L488" s="87"/>
      <c r="M488" s="87"/>
      <c r="N488" s="87"/>
      <c r="O488" s="87"/>
      <c r="P488" s="87"/>
      <c r="Q488" s="87"/>
      <c r="R488" s="87"/>
      <c r="S488" s="87"/>
      <c r="T488" s="87"/>
      <c r="U488" s="324">
        <v>0</v>
      </c>
      <c r="V488" s="324">
        <v>0</v>
      </c>
      <c r="W488" s="324">
        <v>0</v>
      </c>
      <c r="X488" s="313">
        <f t="shared" si="58"/>
        <v>0</v>
      </c>
      <c r="Y488" s="313">
        <f t="shared" si="58"/>
        <v>0</v>
      </c>
      <c r="Z488" s="313">
        <f t="shared" si="58"/>
        <v>0</v>
      </c>
      <c r="AA488" s="313">
        <f t="shared" si="58"/>
        <v>0</v>
      </c>
      <c r="AB488" s="313">
        <f t="shared" si="58"/>
        <v>0</v>
      </c>
      <c r="AC488" s="87"/>
      <c r="AD488" s="109"/>
      <c r="AE488" s="87"/>
      <c r="AF488" s="109">
        <v>1</v>
      </c>
      <c r="AG488" s="109">
        <v>1</v>
      </c>
      <c r="AH488" s="84"/>
      <c r="AI488" s="66"/>
      <c r="AJ488" s="54"/>
      <c r="AK488" s="54"/>
      <c r="AL488" s="54"/>
    </row>
    <row r="489" spans="1:38" outlineLevel="2" x14ac:dyDescent="0.25">
      <c r="A489" s="54"/>
      <c r="B489" s="63"/>
      <c r="C489" s="56">
        <f t="shared" si="57"/>
        <v>3</v>
      </c>
      <c r="D489" s="84"/>
      <c r="E489" s="79"/>
      <c r="F489" s="79" t="s">
        <v>1360</v>
      </c>
      <c r="G489" s="84"/>
      <c r="H489" s="87" t="s">
        <v>1361</v>
      </c>
      <c r="I489" s="108" t="s">
        <v>623</v>
      </c>
      <c r="J489" s="108" t="s">
        <v>1292</v>
      </c>
      <c r="K489" s="87"/>
      <c r="L489" s="87"/>
      <c r="M489" s="87"/>
      <c r="N489" s="87"/>
      <c r="O489" s="87"/>
      <c r="P489" s="87"/>
      <c r="Q489" s="87"/>
      <c r="R489" s="87"/>
      <c r="S489" s="87"/>
      <c r="T489" s="87"/>
      <c r="U489" s="324">
        <v>0</v>
      </c>
      <c r="V489" s="324">
        <v>0</v>
      </c>
      <c r="W489" s="324">
        <v>0</v>
      </c>
      <c r="X489" s="313">
        <f t="shared" si="58"/>
        <v>0</v>
      </c>
      <c r="Y489" s="313">
        <f t="shared" si="58"/>
        <v>0</v>
      </c>
      <c r="Z489" s="313">
        <f t="shared" si="58"/>
        <v>0</v>
      </c>
      <c r="AA489" s="313">
        <f t="shared" si="58"/>
        <v>0</v>
      </c>
      <c r="AB489" s="313">
        <f t="shared" si="58"/>
        <v>0</v>
      </c>
      <c r="AC489" s="87"/>
      <c r="AD489" s="109"/>
      <c r="AE489" s="87"/>
      <c r="AF489" s="109">
        <v>1</v>
      </c>
      <c r="AG489" s="109">
        <v>1</v>
      </c>
      <c r="AH489" s="84"/>
      <c r="AI489" s="66"/>
      <c r="AJ489" s="54"/>
      <c r="AK489" s="54"/>
      <c r="AL489" s="54"/>
    </row>
    <row r="490" spans="1:38" outlineLevel="2" x14ac:dyDescent="0.25">
      <c r="A490" s="54"/>
      <c r="B490" s="63"/>
      <c r="C490" s="56">
        <f t="shared" si="57"/>
        <v>3</v>
      </c>
      <c r="D490" s="84"/>
      <c r="E490" s="79"/>
      <c r="F490" s="79" t="s">
        <v>1362</v>
      </c>
      <c r="G490" s="84"/>
      <c r="H490" s="87" t="s">
        <v>1363</v>
      </c>
      <c r="I490" s="108" t="s">
        <v>623</v>
      </c>
      <c r="J490" s="108" t="s">
        <v>1292</v>
      </c>
      <c r="K490" s="87"/>
      <c r="L490" s="87"/>
      <c r="M490" s="87"/>
      <c r="N490" s="87"/>
      <c r="O490" s="87"/>
      <c r="P490" s="87"/>
      <c r="Q490" s="87"/>
      <c r="R490" s="87"/>
      <c r="S490" s="87"/>
      <c r="T490" s="87"/>
      <c r="U490" s="324">
        <v>0</v>
      </c>
      <c r="V490" s="324">
        <v>0</v>
      </c>
      <c r="W490" s="324">
        <v>0</v>
      </c>
      <c r="X490" s="313">
        <f t="shared" si="58"/>
        <v>0</v>
      </c>
      <c r="Y490" s="313">
        <f t="shared" si="58"/>
        <v>0</v>
      </c>
      <c r="Z490" s="313">
        <f t="shared" si="58"/>
        <v>0</v>
      </c>
      <c r="AA490" s="313">
        <f t="shared" si="58"/>
        <v>0</v>
      </c>
      <c r="AB490" s="313">
        <f t="shared" si="58"/>
        <v>0</v>
      </c>
      <c r="AC490" s="87"/>
      <c r="AD490" s="109"/>
      <c r="AE490" s="87"/>
      <c r="AF490" s="109">
        <v>1</v>
      </c>
      <c r="AG490" s="109">
        <v>1</v>
      </c>
      <c r="AH490" s="84"/>
      <c r="AI490" s="66"/>
      <c r="AJ490" s="54"/>
      <c r="AK490" s="54"/>
      <c r="AL490" s="54"/>
    </row>
    <row r="491" spans="1:38" outlineLevel="2" x14ac:dyDescent="0.25">
      <c r="A491" s="54"/>
      <c r="B491" s="63"/>
      <c r="C491" s="56">
        <f t="shared" si="57"/>
        <v>3</v>
      </c>
      <c r="D491" s="84"/>
      <c r="E491" s="79"/>
      <c r="F491" s="79" t="s">
        <v>1364</v>
      </c>
      <c r="G491" s="84"/>
      <c r="H491" s="87" t="s">
        <v>1365</v>
      </c>
      <c r="I491" s="108" t="s">
        <v>623</v>
      </c>
      <c r="J491" s="108" t="s">
        <v>1292</v>
      </c>
      <c r="K491" s="87"/>
      <c r="L491" s="87"/>
      <c r="M491" s="87"/>
      <c r="N491" s="87"/>
      <c r="O491" s="87"/>
      <c r="P491" s="87"/>
      <c r="Q491" s="87"/>
      <c r="R491" s="87"/>
      <c r="S491" s="87"/>
      <c r="T491" s="87"/>
      <c r="U491" s="324">
        <v>0</v>
      </c>
      <c r="V491" s="324">
        <v>0</v>
      </c>
      <c r="W491" s="324">
        <v>0</v>
      </c>
      <c r="X491" s="313">
        <f t="shared" si="58"/>
        <v>0</v>
      </c>
      <c r="Y491" s="313">
        <f t="shared" si="58"/>
        <v>0</v>
      </c>
      <c r="Z491" s="313">
        <f t="shared" si="58"/>
        <v>0</v>
      </c>
      <c r="AA491" s="313">
        <f t="shared" si="58"/>
        <v>0</v>
      </c>
      <c r="AB491" s="313">
        <f t="shared" si="58"/>
        <v>0</v>
      </c>
      <c r="AC491" s="87"/>
      <c r="AD491" s="109"/>
      <c r="AE491" s="87"/>
      <c r="AF491" s="109">
        <v>1</v>
      </c>
      <c r="AG491" s="109">
        <v>1</v>
      </c>
      <c r="AH491" s="84"/>
      <c r="AI491" s="66"/>
      <c r="AJ491" s="54"/>
      <c r="AK491" s="54"/>
      <c r="AL491" s="54"/>
    </row>
    <row r="492" spans="1:38" outlineLevel="2" x14ac:dyDescent="0.25">
      <c r="A492" s="54"/>
      <c r="B492" s="63"/>
      <c r="C492" s="56">
        <f t="shared" si="57"/>
        <v>3</v>
      </c>
      <c r="D492" s="84"/>
      <c r="E492" s="79"/>
      <c r="F492" s="79" t="s">
        <v>1366</v>
      </c>
      <c r="G492" s="84"/>
      <c r="H492" s="87" t="s">
        <v>1367</v>
      </c>
      <c r="I492" s="108" t="s">
        <v>623</v>
      </c>
      <c r="J492" s="108" t="s">
        <v>1292</v>
      </c>
      <c r="K492" s="87"/>
      <c r="L492" s="87"/>
      <c r="M492" s="87"/>
      <c r="N492" s="87"/>
      <c r="O492" s="87"/>
      <c r="P492" s="87"/>
      <c r="Q492" s="87"/>
      <c r="R492" s="87"/>
      <c r="S492" s="87"/>
      <c r="T492" s="87"/>
      <c r="U492" s="324">
        <v>0</v>
      </c>
      <c r="V492" s="324">
        <v>0</v>
      </c>
      <c r="W492" s="324">
        <v>0</v>
      </c>
      <c r="X492" s="313">
        <f t="shared" si="58"/>
        <v>0</v>
      </c>
      <c r="Y492" s="313">
        <f t="shared" si="58"/>
        <v>0</v>
      </c>
      <c r="Z492" s="313">
        <f t="shared" si="58"/>
        <v>0</v>
      </c>
      <c r="AA492" s="313">
        <f t="shared" si="58"/>
        <v>0</v>
      </c>
      <c r="AB492" s="313">
        <f t="shared" si="58"/>
        <v>0</v>
      </c>
      <c r="AC492" s="87"/>
      <c r="AD492" s="109"/>
      <c r="AE492" s="87"/>
      <c r="AF492" s="109">
        <v>1</v>
      </c>
      <c r="AG492" s="109">
        <v>1</v>
      </c>
      <c r="AH492" s="84"/>
      <c r="AI492" s="66"/>
      <c r="AJ492" s="54"/>
      <c r="AK492" s="54"/>
      <c r="AL492" s="54"/>
    </row>
    <row r="493" spans="1:38" outlineLevel="2" x14ac:dyDescent="0.25">
      <c r="A493" s="54"/>
      <c r="B493" s="63"/>
      <c r="C493" s="56">
        <f t="shared" si="57"/>
        <v>3</v>
      </c>
      <c r="D493" s="84"/>
      <c r="E493" s="79"/>
      <c r="F493" s="79" t="s">
        <v>1368</v>
      </c>
      <c r="G493" s="84"/>
      <c r="H493" s="87" t="s">
        <v>1369</v>
      </c>
      <c r="I493" s="108" t="s">
        <v>623</v>
      </c>
      <c r="J493" s="108" t="s">
        <v>1292</v>
      </c>
      <c r="K493" s="87"/>
      <c r="L493" s="87"/>
      <c r="M493" s="87"/>
      <c r="N493" s="87"/>
      <c r="O493" s="87"/>
      <c r="P493" s="87"/>
      <c r="Q493" s="87"/>
      <c r="R493" s="87"/>
      <c r="S493" s="87"/>
      <c r="T493" s="87"/>
      <c r="U493" s="324">
        <v>0</v>
      </c>
      <c r="V493" s="324">
        <v>0</v>
      </c>
      <c r="W493" s="324">
        <v>0</v>
      </c>
      <c r="X493" s="313">
        <f t="shared" si="58"/>
        <v>0</v>
      </c>
      <c r="Y493" s="313">
        <f t="shared" si="58"/>
        <v>0</v>
      </c>
      <c r="Z493" s="313">
        <f t="shared" si="58"/>
        <v>0</v>
      </c>
      <c r="AA493" s="313">
        <f t="shared" si="58"/>
        <v>0</v>
      </c>
      <c r="AB493" s="313">
        <f t="shared" si="58"/>
        <v>0</v>
      </c>
      <c r="AC493" s="87"/>
      <c r="AD493" s="109"/>
      <c r="AE493" s="87"/>
      <c r="AF493" s="109">
        <v>1</v>
      </c>
      <c r="AG493" s="109">
        <v>1</v>
      </c>
      <c r="AH493" s="84"/>
      <c r="AI493" s="66"/>
      <c r="AJ493" s="54"/>
      <c r="AK493" s="54"/>
      <c r="AL493" s="54"/>
    </row>
    <row r="494" spans="1:38" outlineLevel="2" x14ac:dyDescent="0.25">
      <c r="A494" s="54"/>
      <c r="B494" s="63"/>
      <c r="C494" s="56">
        <f t="shared" si="57"/>
        <v>3</v>
      </c>
      <c r="D494" s="84"/>
      <c r="E494" s="79"/>
      <c r="F494" s="79" t="s">
        <v>1370</v>
      </c>
      <c r="G494" s="84"/>
      <c r="H494" s="87" t="s">
        <v>1371</v>
      </c>
      <c r="I494" s="108" t="s">
        <v>623</v>
      </c>
      <c r="J494" s="108" t="s">
        <v>1292</v>
      </c>
      <c r="K494" s="87"/>
      <c r="L494" s="87"/>
      <c r="M494" s="87"/>
      <c r="N494" s="87"/>
      <c r="O494" s="87"/>
      <c r="P494" s="87"/>
      <c r="Q494" s="87"/>
      <c r="R494" s="87"/>
      <c r="S494" s="87"/>
      <c r="T494" s="87"/>
      <c r="U494" s="324">
        <v>0</v>
      </c>
      <c r="V494" s="324">
        <v>0</v>
      </c>
      <c r="W494" s="324">
        <v>0</v>
      </c>
      <c r="X494" s="313">
        <f t="shared" si="58"/>
        <v>0</v>
      </c>
      <c r="Y494" s="313">
        <f t="shared" si="58"/>
        <v>0</v>
      </c>
      <c r="Z494" s="313">
        <f t="shared" si="58"/>
        <v>0</v>
      </c>
      <c r="AA494" s="313">
        <f t="shared" si="58"/>
        <v>0</v>
      </c>
      <c r="AB494" s="313">
        <f t="shared" si="58"/>
        <v>0</v>
      </c>
      <c r="AC494" s="87"/>
      <c r="AD494" s="109"/>
      <c r="AE494" s="87"/>
      <c r="AF494" s="109">
        <v>1</v>
      </c>
      <c r="AG494" s="109">
        <v>1</v>
      </c>
      <c r="AH494" s="84"/>
      <c r="AI494" s="66"/>
      <c r="AJ494" s="54"/>
      <c r="AK494" s="54"/>
      <c r="AL494" s="54"/>
    </row>
    <row r="495" spans="1:38" outlineLevel="2" x14ac:dyDescent="0.25">
      <c r="A495" s="54"/>
      <c r="B495" s="63"/>
      <c r="C495" s="56">
        <f t="shared" si="57"/>
        <v>3</v>
      </c>
      <c r="D495" s="84"/>
      <c r="E495" s="79"/>
      <c r="F495" s="79" t="s">
        <v>1372</v>
      </c>
      <c r="G495" s="84"/>
      <c r="H495" s="87" t="s">
        <v>1373</v>
      </c>
      <c r="I495" s="108" t="s">
        <v>623</v>
      </c>
      <c r="J495" s="108" t="s">
        <v>1292</v>
      </c>
      <c r="K495" s="87"/>
      <c r="L495" s="87"/>
      <c r="M495" s="87"/>
      <c r="N495" s="87"/>
      <c r="O495" s="87"/>
      <c r="P495" s="87"/>
      <c r="Q495" s="87"/>
      <c r="R495" s="87"/>
      <c r="S495" s="87"/>
      <c r="T495" s="87"/>
      <c r="U495" s="324">
        <v>0</v>
      </c>
      <c r="V495" s="324">
        <v>0</v>
      </c>
      <c r="W495" s="324">
        <v>0</v>
      </c>
      <c r="X495" s="313">
        <f t="shared" si="58"/>
        <v>0</v>
      </c>
      <c r="Y495" s="313">
        <f t="shared" si="58"/>
        <v>0</v>
      </c>
      <c r="Z495" s="313">
        <f t="shared" si="58"/>
        <v>0</v>
      </c>
      <c r="AA495" s="313">
        <f t="shared" si="58"/>
        <v>0</v>
      </c>
      <c r="AB495" s="313">
        <f t="shared" si="58"/>
        <v>0</v>
      </c>
      <c r="AC495" s="87"/>
      <c r="AD495" s="109"/>
      <c r="AE495" s="87"/>
      <c r="AF495" s="109">
        <v>1</v>
      </c>
      <c r="AG495" s="109">
        <v>1</v>
      </c>
      <c r="AH495" s="84"/>
      <c r="AI495" s="66"/>
      <c r="AJ495" s="54"/>
      <c r="AK495" s="54"/>
      <c r="AL495" s="54"/>
    </row>
    <row r="496" spans="1:38" outlineLevel="2" x14ac:dyDescent="0.25">
      <c r="A496" s="54"/>
      <c r="B496" s="63"/>
      <c r="C496" s="56">
        <f t="shared" si="57"/>
        <v>3</v>
      </c>
      <c r="D496" s="84"/>
      <c r="E496" s="79"/>
      <c r="F496" s="79" t="s">
        <v>1374</v>
      </c>
      <c r="G496" s="84"/>
      <c r="H496" s="87" t="s">
        <v>1375</v>
      </c>
      <c r="I496" s="108" t="s">
        <v>623</v>
      </c>
      <c r="J496" s="108" t="s">
        <v>1292</v>
      </c>
      <c r="K496" s="87"/>
      <c r="L496" s="87"/>
      <c r="M496" s="87"/>
      <c r="N496" s="87"/>
      <c r="O496" s="87"/>
      <c r="P496" s="87"/>
      <c r="Q496" s="87"/>
      <c r="R496" s="87"/>
      <c r="S496" s="87"/>
      <c r="T496" s="87"/>
      <c r="U496" s="324">
        <v>0</v>
      </c>
      <c r="V496" s="324">
        <v>0</v>
      </c>
      <c r="W496" s="324">
        <v>0</v>
      </c>
      <c r="X496" s="313">
        <f t="shared" si="58"/>
        <v>0</v>
      </c>
      <c r="Y496" s="313">
        <f t="shared" si="58"/>
        <v>0</v>
      </c>
      <c r="Z496" s="313">
        <f t="shared" si="58"/>
        <v>0</v>
      </c>
      <c r="AA496" s="313">
        <f t="shared" si="58"/>
        <v>0</v>
      </c>
      <c r="AB496" s="313">
        <f t="shared" si="58"/>
        <v>0</v>
      </c>
      <c r="AC496" s="87"/>
      <c r="AD496" s="109"/>
      <c r="AE496" s="87"/>
      <c r="AF496" s="109">
        <v>1</v>
      </c>
      <c r="AG496" s="109">
        <v>1</v>
      </c>
      <c r="AH496" s="84"/>
      <c r="AI496" s="66"/>
      <c r="AJ496" s="54"/>
      <c r="AK496" s="54"/>
      <c r="AL496" s="54"/>
    </row>
    <row r="497" spans="1:38" outlineLevel="2" x14ac:dyDescent="0.25">
      <c r="A497" s="54"/>
      <c r="B497" s="63"/>
      <c r="C497" s="56">
        <f t="shared" si="57"/>
        <v>3</v>
      </c>
      <c r="D497" s="84"/>
      <c r="E497" s="79"/>
      <c r="F497" s="79" t="s">
        <v>1376</v>
      </c>
      <c r="G497" s="84"/>
      <c r="H497" s="87" t="s">
        <v>1377</v>
      </c>
      <c r="I497" s="108" t="s">
        <v>623</v>
      </c>
      <c r="J497" s="108" t="s">
        <v>1292</v>
      </c>
      <c r="K497" s="87"/>
      <c r="L497" s="87"/>
      <c r="M497" s="87"/>
      <c r="N497" s="87"/>
      <c r="O497" s="87"/>
      <c r="P497" s="87"/>
      <c r="Q497" s="87"/>
      <c r="R497" s="87"/>
      <c r="S497" s="87"/>
      <c r="T497" s="87"/>
      <c r="U497" s="324">
        <v>0</v>
      </c>
      <c r="V497" s="324">
        <v>0</v>
      </c>
      <c r="W497" s="324">
        <v>0</v>
      </c>
      <c r="X497" s="313">
        <f t="shared" si="58"/>
        <v>0</v>
      </c>
      <c r="Y497" s="313">
        <f t="shared" si="58"/>
        <v>0</v>
      </c>
      <c r="Z497" s="313">
        <f t="shared" si="58"/>
        <v>0</v>
      </c>
      <c r="AA497" s="313">
        <f t="shared" si="58"/>
        <v>0</v>
      </c>
      <c r="AB497" s="313">
        <f t="shared" si="58"/>
        <v>0</v>
      </c>
      <c r="AC497" s="87"/>
      <c r="AD497" s="109"/>
      <c r="AE497" s="87"/>
      <c r="AF497" s="109">
        <v>1</v>
      </c>
      <c r="AG497" s="109">
        <v>1</v>
      </c>
      <c r="AH497" s="84"/>
      <c r="AI497" s="66"/>
      <c r="AJ497" s="54"/>
      <c r="AK497" s="54"/>
      <c r="AL497" s="54"/>
    </row>
    <row r="498" spans="1:38" outlineLevel="2" x14ac:dyDescent="0.25">
      <c r="A498" s="54"/>
      <c r="B498" s="63"/>
      <c r="C498" s="56">
        <f t="shared" si="57"/>
        <v>3</v>
      </c>
      <c r="D498" s="84"/>
      <c r="E498" s="79"/>
      <c r="F498" s="79" t="s">
        <v>1378</v>
      </c>
      <c r="G498" s="84"/>
      <c r="H498" s="87" t="s">
        <v>1379</v>
      </c>
      <c r="I498" s="108" t="s">
        <v>623</v>
      </c>
      <c r="J498" s="108" t="s">
        <v>1292</v>
      </c>
      <c r="K498" s="87"/>
      <c r="L498" s="87"/>
      <c r="M498" s="87"/>
      <c r="N498" s="87"/>
      <c r="O498" s="87"/>
      <c r="P498" s="87"/>
      <c r="Q498" s="87"/>
      <c r="R498" s="87"/>
      <c r="S498" s="87"/>
      <c r="T498" s="87"/>
      <c r="U498" s="324">
        <v>0</v>
      </c>
      <c r="V498" s="324">
        <v>0</v>
      </c>
      <c r="W498" s="324">
        <v>0</v>
      </c>
      <c r="X498" s="313">
        <f t="shared" si="58"/>
        <v>0</v>
      </c>
      <c r="Y498" s="313">
        <f t="shared" si="58"/>
        <v>0</v>
      </c>
      <c r="Z498" s="313">
        <f t="shared" si="58"/>
        <v>0</v>
      </c>
      <c r="AA498" s="313">
        <f t="shared" si="58"/>
        <v>0</v>
      </c>
      <c r="AB498" s="313">
        <f t="shared" si="58"/>
        <v>0</v>
      </c>
      <c r="AC498" s="87"/>
      <c r="AD498" s="109"/>
      <c r="AE498" s="87"/>
      <c r="AF498" s="109">
        <v>1</v>
      </c>
      <c r="AG498" s="109">
        <v>1</v>
      </c>
      <c r="AH498" s="84"/>
      <c r="AI498" s="66"/>
      <c r="AJ498" s="54"/>
      <c r="AK498" s="54"/>
      <c r="AL498" s="54"/>
    </row>
    <row r="499" spans="1:38" outlineLevel="2" x14ac:dyDescent="0.25">
      <c r="A499" s="54"/>
      <c r="B499" s="63"/>
      <c r="C499" s="56">
        <f t="shared" si="57"/>
        <v>3</v>
      </c>
      <c r="D499" s="84"/>
      <c r="E499" s="79"/>
      <c r="F499" s="79" t="s">
        <v>1380</v>
      </c>
      <c r="G499" s="84"/>
      <c r="H499" s="87" t="s">
        <v>1381</v>
      </c>
      <c r="I499" s="108" t="s">
        <v>623</v>
      </c>
      <c r="J499" s="108" t="s">
        <v>1292</v>
      </c>
      <c r="K499" s="87"/>
      <c r="L499" s="87"/>
      <c r="M499" s="87"/>
      <c r="N499" s="87"/>
      <c r="O499" s="87"/>
      <c r="P499" s="87"/>
      <c r="Q499" s="87"/>
      <c r="R499" s="87"/>
      <c r="S499" s="87"/>
      <c r="T499" s="87"/>
      <c r="U499" s="324">
        <v>0</v>
      </c>
      <c r="V499" s="324">
        <v>0</v>
      </c>
      <c r="W499" s="324">
        <v>0</v>
      </c>
      <c r="X499" s="313">
        <f t="shared" si="58"/>
        <v>0</v>
      </c>
      <c r="Y499" s="313">
        <f t="shared" si="58"/>
        <v>0</v>
      </c>
      <c r="Z499" s="313">
        <f t="shared" si="58"/>
        <v>0</v>
      </c>
      <c r="AA499" s="313">
        <f t="shared" si="58"/>
        <v>0</v>
      </c>
      <c r="AB499" s="313">
        <f t="shared" si="58"/>
        <v>0</v>
      </c>
      <c r="AC499" s="87"/>
      <c r="AD499" s="109"/>
      <c r="AE499" s="87"/>
      <c r="AF499" s="109">
        <v>1</v>
      </c>
      <c r="AG499" s="109">
        <v>1</v>
      </c>
      <c r="AH499" s="84"/>
      <c r="AI499" s="66"/>
      <c r="AJ499" s="54"/>
      <c r="AK499" s="54"/>
      <c r="AL499" s="54"/>
    </row>
    <row r="500" spans="1:38" outlineLevel="2" x14ac:dyDescent="0.25">
      <c r="A500" s="54"/>
      <c r="B500" s="63"/>
      <c r="C500" s="56">
        <f t="shared" si="57"/>
        <v>3</v>
      </c>
      <c r="D500" s="84"/>
      <c r="E500" s="79"/>
      <c r="F500" s="79" t="s">
        <v>1382</v>
      </c>
      <c r="G500" s="84"/>
      <c r="H500" s="87" t="s">
        <v>1383</v>
      </c>
      <c r="I500" s="108" t="s">
        <v>623</v>
      </c>
      <c r="J500" s="108" t="s">
        <v>1292</v>
      </c>
      <c r="K500" s="87"/>
      <c r="L500" s="87"/>
      <c r="M500" s="87"/>
      <c r="N500" s="87"/>
      <c r="O500" s="87"/>
      <c r="P500" s="87"/>
      <c r="Q500" s="87"/>
      <c r="R500" s="87"/>
      <c r="S500" s="87"/>
      <c r="T500" s="87"/>
      <c r="U500" s="324">
        <v>0</v>
      </c>
      <c r="V500" s="324">
        <v>0</v>
      </c>
      <c r="W500" s="324">
        <v>0</v>
      </c>
      <c r="X500" s="313">
        <f t="shared" si="58"/>
        <v>0</v>
      </c>
      <c r="Y500" s="313">
        <f t="shared" si="58"/>
        <v>0</v>
      </c>
      <c r="Z500" s="313">
        <f t="shared" si="58"/>
        <v>0</v>
      </c>
      <c r="AA500" s="313">
        <f t="shared" si="58"/>
        <v>0</v>
      </c>
      <c r="AB500" s="313">
        <f t="shared" si="58"/>
        <v>0</v>
      </c>
      <c r="AC500" s="87"/>
      <c r="AD500" s="109"/>
      <c r="AE500" s="87"/>
      <c r="AF500" s="109">
        <v>1</v>
      </c>
      <c r="AG500" s="109">
        <v>1</v>
      </c>
      <c r="AH500" s="84"/>
      <c r="AI500" s="66"/>
      <c r="AJ500" s="54"/>
      <c r="AK500" s="54"/>
      <c r="AL500" s="54"/>
    </row>
    <row r="501" spans="1:38" outlineLevel="2" x14ac:dyDescent="0.25">
      <c r="A501" s="54"/>
      <c r="B501" s="63"/>
      <c r="C501" s="56">
        <f t="shared" si="57"/>
        <v>3</v>
      </c>
      <c r="D501" s="84"/>
      <c r="E501" s="79"/>
      <c r="F501" s="79" t="s">
        <v>1384</v>
      </c>
      <c r="G501" s="84"/>
      <c r="H501" s="87" t="s">
        <v>1385</v>
      </c>
      <c r="I501" s="108" t="s">
        <v>623</v>
      </c>
      <c r="J501" s="108" t="s">
        <v>1292</v>
      </c>
      <c r="K501" s="87"/>
      <c r="L501" s="87"/>
      <c r="M501" s="87"/>
      <c r="N501" s="87"/>
      <c r="O501" s="87"/>
      <c r="P501" s="87"/>
      <c r="Q501" s="87"/>
      <c r="R501" s="87"/>
      <c r="S501" s="87"/>
      <c r="T501" s="87"/>
      <c r="U501" s="324">
        <v>0</v>
      </c>
      <c r="V501" s="324">
        <v>0</v>
      </c>
      <c r="W501" s="324">
        <v>0</v>
      </c>
      <c r="X501" s="313">
        <f t="shared" si="58"/>
        <v>0</v>
      </c>
      <c r="Y501" s="313">
        <f t="shared" si="58"/>
        <v>0</v>
      </c>
      <c r="Z501" s="313">
        <f t="shared" si="58"/>
        <v>0</v>
      </c>
      <c r="AA501" s="313">
        <f t="shared" si="58"/>
        <v>0</v>
      </c>
      <c r="AB501" s="313">
        <f t="shared" si="58"/>
        <v>0</v>
      </c>
      <c r="AC501" s="87"/>
      <c r="AD501" s="109"/>
      <c r="AE501" s="87"/>
      <c r="AF501" s="109">
        <v>1</v>
      </c>
      <c r="AG501" s="109">
        <v>1</v>
      </c>
      <c r="AH501" s="84"/>
      <c r="AI501" s="66"/>
      <c r="AJ501" s="54"/>
      <c r="AK501" s="54"/>
      <c r="AL501" s="54"/>
    </row>
    <row r="502" spans="1:38" outlineLevel="2" x14ac:dyDescent="0.25">
      <c r="A502" s="54"/>
      <c r="B502" s="63"/>
      <c r="C502" s="56">
        <f t="shared" si="57"/>
        <v>3</v>
      </c>
      <c r="D502" s="84"/>
      <c r="E502" s="79"/>
      <c r="F502" s="79" t="s">
        <v>1386</v>
      </c>
      <c r="G502" s="84"/>
      <c r="H502" s="87" t="s">
        <v>1387</v>
      </c>
      <c r="I502" s="108" t="s">
        <v>623</v>
      </c>
      <c r="J502" s="108" t="s">
        <v>1292</v>
      </c>
      <c r="K502" s="87"/>
      <c r="L502" s="87"/>
      <c r="M502" s="87"/>
      <c r="N502" s="87"/>
      <c r="O502" s="87"/>
      <c r="P502" s="87"/>
      <c r="Q502" s="87"/>
      <c r="R502" s="87"/>
      <c r="S502" s="87"/>
      <c r="T502" s="87"/>
      <c r="U502" s="324">
        <v>0</v>
      </c>
      <c r="V502" s="324">
        <v>0</v>
      </c>
      <c r="W502" s="324">
        <v>0</v>
      </c>
      <c r="X502" s="313">
        <f t="shared" si="58"/>
        <v>0</v>
      </c>
      <c r="Y502" s="313">
        <f t="shared" si="58"/>
        <v>0</v>
      </c>
      <c r="Z502" s="313">
        <f t="shared" si="58"/>
        <v>0</v>
      </c>
      <c r="AA502" s="313">
        <f t="shared" si="58"/>
        <v>0</v>
      </c>
      <c r="AB502" s="313">
        <f t="shared" si="58"/>
        <v>0</v>
      </c>
      <c r="AC502" s="87"/>
      <c r="AD502" s="109"/>
      <c r="AE502" s="87"/>
      <c r="AF502" s="109">
        <v>1</v>
      </c>
      <c r="AG502" s="109">
        <v>1</v>
      </c>
      <c r="AH502" s="84"/>
      <c r="AI502" s="66"/>
      <c r="AJ502" s="54"/>
      <c r="AK502" s="54"/>
      <c r="AL502" s="54"/>
    </row>
    <row r="503" spans="1:38" outlineLevel="2" x14ac:dyDescent="0.25">
      <c r="A503" s="54"/>
      <c r="B503" s="63"/>
      <c r="C503" s="56">
        <f t="shared" si="57"/>
        <v>3</v>
      </c>
      <c r="D503" s="84"/>
      <c r="E503" s="79"/>
      <c r="F503" s="79" t="s">
        <v>1388</v>
      </c>
      <c r="G503" s="84"/>
      <c r="H503" s="87" t="s">
        <v>1389</v>
      </c>
      <c r="I503" s="108" t="s">
        <v>623</v>
      </c>
      <c r="J503" s="108" t="s">
        <v>1292</v>
      </c>
      <c r="K503" s="87"/>
      <c r="L503" s="87"/>
      <c r="M503" s="87"/>
      <c r="N503" s="87"/>
      <c r="O503" s="87"/>
      <c r="P503" s="87"/>
      <c r="Q503" s="87"/>
      <c r="R503" s="87"/>
      <c r="S503" s="87"/>
      <c r="T503" s="87"/>
      <c r="U503" s="324">
        <v>0</v>
      </c>
      <c r="V503" s="324">
        <v>0</v>
      </c>
      <c r="W503" s="324">
        <v>0</v>
      </c>
      <c r="X503" s="313">
        <f t="shared" si="58"/>
        <v>0</v>
      </c>
      <c r="Y503" s="313">
        <f t="shared" si="58"/>
        <v>0</v>
      </c>
      <c r="Z503" s="313">
        <f t="shared" si="58"/>
        <v>0</v>
      </c>
      <c r="AA503" s="313">
        <f t="shared" si="58"/>
        <v>0</v>
      </c>
      <c r="AB503" s="313">
        <f t="shared" si="58"/>
        <v>0</v>
      </c>
      <c r="AC503" s="87"/>
      <c r="AD503" s="109"/>
      <c r="AE503" s="87"/>
      <c r="AF503" s="109">
        <v>1</v>
      </c>
      <c r="AG503" s="109">
        <v>1</v>
      </c>
      <c r="AH503" s="84"/>
      <c r="AI503" s="66"/>
      <c r="AJ503" s="54"/>
      <c r="AK503" s="54"/>
      <c r="AL503" s="54"/>
    </row>
    <row r="504" spans="1:38" outlineLevel="2" x14ac:dyDescent="0.25">
      <c r="A504" s="54"/>
      <c r="B504" s="63"/>
      <c r="C504" s="56">
        <f t="shared" si="57"/>
        <v>3</v>
      </c>
      <c r="D504" s="84"/>
      <c r="E504" s="79"/>
      <c r="F504" s="79" t="s">
        <v>1390</v>
      </c>
      <c r="G504" s="84"/>
      <c r="H504" s="87" t="s">
        <v>1391</v>
      </c>
      <c r="I504" s="108" t="s">
        <v>623</v>
      </c>
      <c r="J504" s="108" t="s">
        <v>1292</v>
      </c>
      <c r="K504" s="87"/>
      <c r="L504" s="87"/>
      <c r="M504" s="87"/>
      <c r="N504" s="87"/>
      <c r="O504" s="87"/>
      <c r="P504" s="87"/>
      <c r="Q504" s="87"/>
      <c r="R504" s="87"/>
      <c r="S504" s="87"/>
      <c r="T504" s="87"/>
      <c r="U504" s="324">
        <v>0</v>
      </c>
      <c r="V504" s="324">
        <v>0</v>
      </c>
      <c r="W504" s="324">
        <v>0</v>
      </c>
      <c r="X504" s="313">
        <f t="shared" si="58"/>
        <v>0</v>
      </c>
      <c r="Y504" s="313">
        <f t="shared" si="58"/>
        <v>0</v>
      </c>
      <c r="Z504" s="313">
        <f t="shared" si="58"/>
        <v>0</v>
      </c>
      <c r="AA504" s="313">
        <f t="shared" si="58"/>
        <v>0</v>
      </c>
      <c r="AB504" s="313">
        <f t="shared" si="58"/>
        <v>0</v>
      </c>
      <c r="AC504" s="87"/>
      <c r="AD504" s="109"/>
      <c r="AE504" s="87"/>
      <c r="AF504" s="109">
        <v>1</v>
      </c>
      <c r="AG504" s="109">
        <v>1</v>
      </c>
      <c r="AH504" s="84"/>
      <c r="AI504" s="66"/>
      <c r="AJ504" s="54"/>
      <c r="AK504" s="54"/>
      <c r="AL504" s="54"/>
    </row>
    <row r="505" spans="1:38" outlineLevel="2" x14ac:dyDescent="0.25">
      <c r="A505" s="54"/>
      <c r="B505" s="63"/>
      <c r="C505" s="56">
        <f t="shared" si="57"/>
        <v>3</v>
      </c>
      <c r="D505" s="84"/>
      <c r="E505" s="79"/>
      <c r="F505" s="79" t="s">
        <v>1392</v>
      </c>
      <c r="G505" s="84"/>
      <c r="H505" s="87" t="s">
        <v>1393</v>
      </c>
      <c r="I505" s="108" t="s">
        <v>623</v>
      </c>
      <c r="J505" s="108" t="s">
        <v>1292</v>
      </c>
      <c r="K505" s="87"/>
      <c r="L505" s="87"/>
      <c r="M505" s="87"/>
      <c r="N505" s="87"/>
      <c r="O505" s="87"/>
      <c r="P505" s="87"/>
      <c r="Q505" s="87"/>
      <c r="R505" s="87"/>
      <c r="S505" s="87"/>
      <c r="T505" s="87"/>
      <c r="U505" s="324">
        <v>0</v>
      </c>
      <c r="V505" s="324">
        <v>0</v>
      </c>
      <c r="W505" s="324">
        <v>0</v>
      </c>
      <c r="X505" s="313">
        <f t="shared" si="58"/>
        <v>0</v>
      </c>
      <c r="Y505" s="313">
        <f t="shared" si="58"/>
        <v>0</v>
      </c>
      <c r="Z505" s="313">
        <f t="shared" si="58"/>
        <v>0</v>
      </c>
      <c r="AA505" s="313">
        <f t="shared" si="58"/>
        <v>0</v>
      </c>
      <c r="AB505" s="313">
        <f t="shared" si="58"/>
        <v>0</v>
      </c>
      <c r="AC505" s="87"/>
      <c r="AD505" s="109"/>
      <c r="AE505" s="87"/>
      <c r="AF505" s="109">
        <v>1</v>
      </c>
      <c r="AG505" s="109">
        <v>1</v>
      </c>
      <c r="AH505" s="84"/>
      <c r="AI505" s="66"/>
      <c r="AJ505" s="54"/>
      <c r="AK505" s="54"/>
      <c r="AL505" s="54"/>
    </row>
    <row r="506" spans="1:38" outlineLevel="2" x14ac:dyDescent="0.25">
      <c r="A506" s="54"/>
      <c r="B506" s="63"/>
      <c r="C506" s="56">
        <f t="shared" si="57"/>
        <v>3</v>
      </c>
      <c r="D506" s="84"/>
      <c r="E506" s="79"/>
      <c r="F506" s="79" t="s">
        <v>1394</v>
      </c>
      <c r="G506" s="84"/>
      <c r="H506" s="87" t="s">
        <v>1395</v>
      </c>
      <c r="I506" s="108" t="s">
        <v>623</v>
      </c>
      <c r="J506" s="108" t="s">
        <v>1292</v>
      </c>
      <c r="K506" s="87"/>
      <c r="L506" s="87"/>
      <c r="M506" s="87"/>
      <c r="N506" s="87"/>
      <c r="O506" s="87"/>
      <c r="P506" s="87"/>
      <c r="Q506" s="87"/>
      <c r="R506" s="87"/>
      <c r="S506" s="87"/>
      <c r="T506" s="87"/>
      <c r="U506" s="324">
        <v>0</v>
      </c>
      <c r="V506" s="324">
        <v>0</v>
      </c>
      <c r="W506" s="324">
        <v>0</v>
      </c>
      <c r="X506" s="313">
        <f t="shared" si="58"/>
        <v>0</v>
      </c>
      <c r="Y506" s="313">
        <f t="shared" si="58"/>
        <v>0</v>
      </c>
      <c r="Z506" s="313">
        <f t="shared" si="58"/>
        <v>0</v>
      </c>
      <c r="AA506" s="313">
        <f t="shared" si="58"/>
        <v>0</v>
      </c>
      <c r="AB506" s="313">
        <f t="shared" si="58"/>
        <v>0</v>
      </c>
      <c r="AC506" s="87"/>
      <c r="AD506" s="109"/>
      <c r="AE506" s="87"/>
      <c r="AF506" s="109">
        <v>1</v>
      </c>
      <c r="AG506" s="109">
        <v>1</v>
      </c>
      <c r="AH506" s="84"/>
      <c r="AI506" s="66"/>
      <c r="AJ506" s="54"/>
      <c r="AK506" s="54"/>
      <c r="AL506" s="54"/>
    </row>
    <row r="507" spans="1:38" outlineLevel="2" x14ac:dyDescent="0.25">
      <c r="A507" s="54"/>
      <c r="B507" s="63"/>
      <c r="C507" s="56">
        <f t="shared" si="57"/>
        <v>3</v>
      </c>
      <c r="D507" s="84"/>
      <c r="E507" s="79"/>
      <c r="F507" s="79" t="s">
        <v>1396</v>
      </c>
      <c r="G507" s="84"/>
      <c r="H507" s="87" t="s">
        <v>1397</v>
      </c>
      <c r="I507" s="108" t="s">
        <v>623</v>
      </c>
      <c r="J507" s="108" t="s">
        <v>1292</v>
      </c>
      <c r="K507" s="87"/>
      <c r="L507" s="87"/>
      <c r="M507" s="87"/>
      <c r="N507" s="87"/>
      <c r="O507" s="87"/>
      <c r="P507" s="87"/>
      <c r="Q507" s="87"/>
      <c r="R507" s="87"/>
      <c r="S507" s="87"/>
      <c r="T507" s="87"/>
      <c r="U507" s="324">
        <v>0</v>
      </c>
      <c r="V507" s="324">
        <v>0</v>
      </c>
      <c r="W507" s="324">
        <v>0</v>
      </c>
      <c r="X507" s="313">
        <f t="shared" si="58"/>
        <v>0</v>
      </c>
      <c r="Y507" s="313">
        <f t="shared" si="58"/>
        <v>0</v>
      </c>
      <c r="Z507" s="313">
        <f t="shared" si="58"/>
        <v>0</v>
      </c>
      <c r="AA507" s="313">
        <f t="shared" si="58"/>
        <v>0</v>
      </c>
      <c r="AB507" s="313">
        <f t="shared" si="58"/>
        <v>0</v>
      </c>
      <c r="AC507" s="87"/>
      <c r="AD507" s="109"/>
      <c r="AE507" s="87"/>
      <c r="AF507" s="109">
        <v>1</v>
      </c>
      <c r="AG507" s="109">
        <v>1</v>
      </c>
      <c r="AH507" s="84"/>
      <c r="AI507" s="66"/>
      <c r="AJ507" s="54"/>
      <c r="AK507" s="54"/>
      <c r="AL507" s="54"/>
    </row>
    <row r="508" spans="1:38" outlineLevel="1" x14ac:dyDescent="0.25">
      <c r="A508" s="54"/>
      <c r="B508" s="63"/>
      <c r="C508" s="56">
        <f>INT($C$40)+1</f>
        <v>2</v>
      </c>
      <c r="D508" s="84"/>
      <c r="E508" s="79"/>
      <c r="F508" s="314" t="s">
        <v>1398</v>
      </c>
      <c r="G508" s="84"/>
      <c r="H508" s="304" t="s">
        <v>1399</v>
      </c>
      <c r="I508" s="149"/>
      <c r="J508" s="149" t="s">
        <v>1192</v>
      </c>
      <c r="K508" s="87"/>
      <c r="L508" s="87"/>
      <c r="M508" s="87"/>
      <c r="N508" s="87"/>
      <c r="O508" s="87"/>
      <c r="P508" s="87"/>
      <c r="Q508" s="87"/>
      <c r="R508" s="87"/>
      <c r="S508" s="87"/>
      <c r="T508" s="87"/>
      <c r="U508" s="91">
        <f>COUNTA($F$509:$F$580)/V508</f>
        <v>24</v>
      </c>
      <c r="V508" s="91">
        <v>3</v>
      </c>
      <c r="W508" s="91">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1400</v>
      </c>
      <c r="G509" s="84"/>
      <c r="H509" s="87" t="s">
        <v>727</v>
      </c>
      <c r="I509" s="108" t="s">
        <v>623</v>
      </c>
      <c r="J509" s="108"/>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1401</v>
      </c>
      <c r="G510" s="84"/>
      <c r="H510" s="87"/>
      <c r="I510" s="108" t="s">
        <v>623</v>
      </c>
      <c r="J510" s="108"/>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1402</v>
      </c>
      <c r="G511" s="84"/>
      <c r="H511" s="87"/>
      <c r="I511" s="108" t="s">
        <v>623</v>
      </c>
      <c r="J511" s="108"/>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1403</v>
      </c>
      <c r="G512" s="84"/>
      <c r="H512" s="87" t="s">
        <v>727</v>
      </c>
      <c r="I512" s="108" t="s">
        <v>623</v>
      </c>
      <c r="J512" s="108"/>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1404</v>
      </c>
      <c r="G513" s="84"/>
      <c r="H513" s="87"/>
      <c r="I513" s="108" t="s">
        <v>623</v>
      </c>
      <c r="J513" s="108"/>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1405</v>
      </c>
      <c r="G514" s="84"/>
      <c r="H514" s="87"/>
      <c r="I514" s="108" t="s">
        <v>623</v>
      </c>
      <c r="J514" s="108"/>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1406</v>
      </c>
      <c r="G515" s="84"/>
      <c r="H515" s="87" t="s">
        <v>727</v>
      </c>
      <c r="I515" s="108" t="s">
        <v>623</v>
      </c>
      <c r="J515" s="108"/>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1407</v>
      </c>
      <c r="G516" s="84"/>
      <c r="H516" s="87"/>
      <c r="I516" s="108" t="s">
        <v>623</v>
      </c>
      <c r="J516" s="108"/>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1408</v>
      </c>
      <c r="G517" s="84"/>
      <c r="H517" s="87"/>
      <c r="I517" s="108" t="s">
        <v>623</v>
      </c>
      <c r="J517" s="108"/>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1409</v>
      </c>
      <c r="G518" s="84"/>
      <c r="H518" s="87" t="s">
        <v>727</v>
      </c>
      <c r="I518" s="108" t="s">
        <v>623</v>
      </c>
      <c r="J518" s="108"/>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1410</v>
      </c>
      <c r="G519" s="84"/>
      <c r="H519" s="87"/>
      <c r="I519" s="108" t="s">
        <v>623</v>
      </c>
      <c r="J519" s="108"/>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1411</v>
      </c>
      <c r="G520" s="84"/>
      <c r="H520" s="87"/>
      <c r="I520" s="108" t="s">
        <v>623</v>
      </c>
      <c r="J520" s="108"/>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1412</v>
      </c>
      <c r="G521" s="84"/>
      <c r="H521" s="87" t="s">
        <v>727</v>
      </c>
      <c r="I521" s="108" t="s">
        <v>623</v>
      </c>
      <c r="J521" s="108"/>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1413</v>
      </c>
      <c r="G522" s="84"/>
      <c r="H522" s="87"/>
      <c r="I522" s="108" t="s">
        <v>623</v>
      </c>
      <c r="J522" s="108"/>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1414</v>
      </c>
      <c r="G523" s="84"/>
      <c r="H523" s="87"/>
      <c r="I523" s="108" t="s">
        <v>623</v>
      </c>
      <c r="J523" s="108"/>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1415</v>
      </c>
      <c r="G524" s="84"/>
      <c r="H524" s="87" t="s">
        <v>727</v>
      </c>
      <c r="I524" s="108" t="s">
        <v>623</v>
      </c>
      <c r="J524" s="108"/>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1416</v>
      </c>
      <c r="G525" s="84"/>
      <c r="H525" s="87"/>
      <c r="I525" s="108" t="s">
        <v>623</v>
      </c>
      <c r="J525" s="108"/>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1417</v>
      </c>
      <c r="G526" s="84"/>
      <c r="H526" s="87"/>
      <c r="I526" s="108" t="s">
        <v>623</v>
      </c>
      <c r="J526" s="108"/>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1418</v>
      </c>
      <c r="G527" s="84"/>
      <c r="H527" s="87" t="s">
        <v>727</v>
      </c>
      <c r="I527" s="108" t="s">
        <v>623</v>
      </c>
      <c r="J527" s="108"/>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1419</v>
      </c>
      <c r="G528" s="84"/>
      <c r="H528" s="87"/>
      <c r="I528" s="108" t="s">
        <v>623</v>
      </c>
      <c r="J528" s="108"/>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1420</v>
      </c>
      <c r="G529" s="84"/>
      <c r="H529" s="87"/>
      <c r="I529" s="108" t="s">
        <v>623</v>
      </c>
      <c r="J529" s="108"/>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1421</v>
      </c>
      <c r="G530" s="84"/>
      <c r="H530" s="87" t="s">
        <v>727</v>
      </c>
      <c r="I530" s="108" t="s">
        <v>623</v>
      </c>
      <c r="J530" s="108"/>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1422</v>
      </c>
      <c r="G531" s="84"/>
      <c r="H531" s="87"/>
      <c r="I531" s="108" t="s">
        <v>623</v>
      </c>
      <c r="J531" s="108"/>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1423</v>
      </c>
      <c r="G532" s="84"/>
      <c r="H532" s="87"/>
      <c r="I532" s="108" t="s">
        <v>623</v>
      </c>
      <c r="J532" s="108"/>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25">
      <c r="A533" s="54"/>
      <c r="B533" s="63"/>
      <c r="C533" s="56">
        <f t="shared" si="59"/>
        <v>3</v>
      </c>
      <c r="D533" s="84"/>
      <c r="E533" s="79"/>
      <c r="F533" s="79" t="s">
        <v>1424</v>
      </c>
      <c r="G533" s="84"/>
      <c r="H533" s="87" t="s">
        <v>1425</v>
      </c>
      <c r="I533" s="108" t="s">
        <v>623</v>
      </c>
      <c r="J533" s="108"/>
      <c r="K533" s="87"/>
      <c r="L533" s="87"/>
      <c r="M533" s="87"/>
      <c r="N533" s="87"/>
      <c r="O533" s="87"/>
      <c r="P533" s="87"/>
      <c r="Q533" s="87"/>
      <c r="R533" s="87"/>
      <c r="S533" s="87"/>
      <c r="T533" s="87"/>
      <c r="U533" s="109">
        <v>0</v>
      </c>
      <c r="V533" s="109">
        <v>0</v>
      </c>
      <c r="W533" s="109">
        <v>0</v>
      </c>
      <c r="X533" s="109">
        <v>0</v>
      </c>
      <c r="Y533" s="109">
        <v>0</v>
      </c>
      <c r="Z533" s="109">
        <v>0</v>
      </c>
      <c r="AA533" s="109">
        <v>0</v>
      </c>
      <c r="AB533" s="109">
        <v>0</v>
      </c>
      <c r="AC533" s="87"/>
      <c r="AD533" s="87" t="s">
        <v>1426</v>
      </c>
      <c r="AE533" s="87"/>
      <c r="AF533" s="109">
        <v>1</v>
      </c>
      <c r="AG533" s="109">
        <v>1</v>
      </c>
      <c r="AH533" s="84"/>
      <c r="AI533" s="66"/>
      <c r="AJ533" s="54"/>
      <c r="AK533" s="54"/>
      <c r="AL533" s="54"/>
    </row>
    <row r="534" spans="1:38" outlineLevel="2" x14ac:dyDescent="0.25">
      <c r="A534" s="54"/>
      <c r="B534" s="63"/>
      <c r="C534" s="56">
        <f t="shared" si="59"/>
        <v>3</v>
      </c>
      <c r="D534" s="84"/>
      <c r="E534" s="79"/>
      <c r="F534" s="79" t="s">
        <v>1427</v>
      </c>
      <c r="G534" s="84"/>
      <c r="H534" s="87" t="s">
        <v>1428</v>
      </c>
      <c r="I534" s="108" t="s">
        <v>623</v>
      </c>
      <c r="J534" s="108"/>
      <c r="K534" s="87"/>
      <c r="L534" s="87"/>
      <c r="M534" s="87"/>
      <c r="N534" s="87"/>
      <c r="O534" s="87"/>
      <c r="P534" s="87"/>
      <c r="Q534" s="87"/>
      <c r="R534" s="87"/>
      <c r="S534" s="87"/>
      <c r="T534" s="87"/>
      <c r="U534" s="109">
        <v>-2.5209999999999999</v>
      </c>
      <c r="V534" s="109">
        <v>-2.5209999999999999</v>
      </c>
      <c r="W534" s="109">
        <v>-2.5209999999999999</v>
      </c>
      <c r="X534" s="313">
        <f>W534</f>
        <v>-2.5209999999999999</v>
      </c>
      <c r="Y534" s="313">
        <f>X534</f>
        <v>-2.5209999999999999</v>
      </c>
      <c r="Z534" s="313">
        <f>Y534</f>
        <v>-2.5209999999999999</v>
      </c>
      <c r="AA534" s="313">
        <f>Z534</f>
        <v>-2.5209999999999999</v>
      </c>
      <c r="AB534" s="313">
        <f>AA534</f>
        <v>-2.5209999999999999</v>
      </c>
      <c r="AC534" s="87"/>
      <c r="AD534" s="87"/>
      <c r="AE534" s="87"/>
      <c r="AF534" s="109">
        <v>1</v>
      </c>
      <c r="AG534" s="109">
        <v>1</v>
      </c>
      <c r="AH534" s="84"/>
      <c r="AI534" s="66"/>
      <c r="AJ534" s="54"/>
      <c r="AK534" s="54"/>
      <c r="AL534" s="54"/>
    </row>
    <row r="535" spans="1:38" outlineLevel="2" x14ac:dyDescent="0.25">
      <c r="A535" s="54"/>
      <c r="B535" s="63"/>
      <c r="C535" s="56">
        <f t="shared" si="59"/>
        <v>3</v>
      </c>
      <c r="D535" s="84"/>
      <c r="E535" s="79"/>
      <c r="F535" s="79" t="s">
        <v>1429</v>
      </c>
      <c r="G535" s="84"/>
      <c r="H535" s="87" t="s">
        <v>1430</v>
      </c>
      <c r="I535" s="108" t="s">
        <v>623</v>
      </c>
      <c r="J535" s="108"/>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9">
        <v>1</v>
      </c>
      <c r="AG535" s="109">
        <v>1</v>
      </c>
      <c r="AH535" s="84"/>
      <c r="AI535" s="66"/>
      <c r="AJ535" s="54"/>
      <c r="AK535" s="54"/>
      <c r="AL535" s="54"/>
    </row>
    <row r="536" spans="1:38" outlineLevel="2" x14ac:dyDescent="0.25">
      <c r="A536" s="54"/>
      <c r="B536" s="63"/>
      <c r="C536" s="56">
        <f t="shared" si="59"/>
        <v>3</v>
      </c>
      <c r="D536" s="84"/>
      <c r="E536" s="79"/>
      <c r="F536" s="79" t="s">
        <v>1431</v>
      </c>
      <c r="G536" s="84"/>
      <c r="H536" s="87" t="s">
        <v>1432</v>
      </c>
      <c r="I536" s="108" t="s">
        <v>623</v>
      </c>
      <c r="J536" s="108"/>
      <c r="K536" s="87"/>
      <c r="L536" s="87"/>
      <c r="M536" s="87"/>
      <c r="N536" s="87"/>
      <c r="O536" s="87"/>
      <c r="P536" s="87"/>
      <c r="Q536" s="87"/>
      <c r="R536" s="87"/>
      <c r="S536" s="87"/>
      <c r="T536" s="87"/>
      <c r="U536" s="109">
        <v>0</v>
      </c>
      <c r="V536" s="109">
        <v>0</v>
      </c>
      <c r="W536" s="109">
        <v>0</v>
      </c>
      <c r="X536" s="109">
        <v>0</v>
      </c>
      <c r="Y536" s="109">
        <v>0</v>
      </c>
      <c r="Z536" s="109">
        <v>0</v>
      </c>
      <c r="AA536" s="109">
        <v>0</v>
      </c>
      <c r="AB536" s="109">
        <v>0</v>
      </c>
      <c r="AC536" s="87"/>
      <c r="AD536" s="87" t="s">
        <v>1426</v>
      </c>
      <c r="AE536" s="87"/>
      <c r="AF536" s="109">
        <v>1</v>
      </c>
      <c r="AG536" s="109">
        <v>1</v>
      </c>
      <c r="AH536" s="84"/>
      <c r="AI536" s="66"/>
      <c r="AJ536" s="54"/>
      <c r="AK536" s="54"/>
      <c r="AL536" s="54"/>
    </row>
    <row r="537" spans="1:38" outlineLevel="2" x14ac:dyDescent="0.25">
      <c r="A537" s="54"/>
      <c r="B537" s="63"/>
      <c r="C537" s="56">
        <f t="shared" si="59"/>
        <v>3</v>
      </c>
      <c r="D537" s="84"/>
      <c r="E537" s="79"/>
      <c r="F537" s="79" t="s">
        <v>1433</v>
      </c>
      <c r="G537" s="84"/>
      <c r="H537" s="87" t="s">
        <v>1434</v>
      </c>
      <c r="I537" s="108" t="s">
        <v>623</v>
      </c>
      <c r="J537" s="108"/>
      <c r="K537" s="87"/>
      <c r="L537" s="87"/>
      <c r="M537" s="87"/>
      <c r="N537" s="87"/>
      <c r="O537" s="87"/>
      <c r="P537" s="87"/>
      <c r="Q537" s="87"/>
      <c r="R537" s="87"/>
      <c r="S537" s="87"/>
      <c r="T537" s="87"/>
      <c r="U537" s="109">
        <v>2.9299999999999999E-3</v>
      </c>
      <c r="V537" s="109">
        <v>2.9299999999999999E-3</v>
      </c>
      <c r="W537" s="109">
        <v>2.9299999999999999E-3</v>
      </c>
      <c r="X537" s="313">
        <f>W537</f>
        <v>2.9299999999999999E-3</v>
      </c>
      <c r="Y537" s="313">
        <f>X537</f>
        <v>2.9299999999999999E-3</v>
      </c>
      <c r="Z537" s="313">
        <f>Y537</f>
        <v>2.9299999999999999E-3</v>
      </c>
      <c r="AA537" s="313">
        <f>Z537</f>
        <v>2.9299999999999999E-3</v>
      </c>
      <c r="AB537" s="313">
        <f>AA537</f>
        <v>2.9299999999999999E-3</v>
      </c>
      <c r="AC537" s="87"/>
      <c r="AD537" s="87"/>
      <c r="AE537" s="87"/>
      <c r="AF537" s="109">
        <v>1</v>
      </c>
      <c r="AG537" s="109">
        <v>1</v>
      </c>
      <c r="AH537" s="84"/>
      <c r="AI537" s="66"/>
      <c r="AJ537" s="54"/>
      <c r="AK537" s="54"/>
      <c r="AL537" s="54"/>
    </row>
    <row r="538" spans="1:38" outlineLevel="2" x14ac:dyDescent="0.25">
      <c r="A538" s="54"/>
      <c r="B538" s="63"/>
      <c r="C538" s="56">
        <f t="shared" si="59"/>
        <v>3</v>
      </c>
      <c r="D538" s="84"/>
      <c r="E538" s="79"/>
      <c r="F538" s="79" t="s">
        <v>1435</v>
      </c>
      <c r="G538" s="84"/>
      <c r="H538" s="87" t="s">
        <v>1436</v>
      </c>
      <c r="I538" s="108" t="s">
        <v>623</v>
      </c>
      <c r="J538" s="108"/>
      <c r="K538" s="87"/>
      <c r="L538" s="87"/>
      <c r="M538" s="87"/>
      <c r="N538" s="87"/>
      <c r="O538" s="87"/>
      <c r="P538" s="87"/>
      <c r="Q538" s="87"/>
      <c r="R538" s="87"/>
      <c r="S538" s="87"/>
      <c r="T538" s="87"/>
      <c r="U538" s="87">
        <v>0</v>
      </c>
      <c r="V538" s="87">
        <v>0</v>
      </c>
      <c r="W538" s="87">
        <v>0</v>
      </c>
      <c r="X538" s="87">
        <v>0</v>
      </c>
      <c r="Y538" s="313">
        <f>X538</f>
        <v>0</v>
      </c>
      <c r="Z538" s="313">
        <f>Y538</f>
        <v>0</v>
      </c>
      <c r="AA538" s="313">
        <f>Z538</f>
        <v>0</v>
      </c>
      <c r="AB538" s="313">
        <f>AA538</f>
        <v>0</v>
      </c>
      <c r="AC538" s="87"/>
      <c r="AD538" s="87"/>
      <c r="AE538" s="87"/>
      <c r="AF538" s="109">
        <v>1</v>
      </c>
      <c r="AG538" s="109">
        <v>1</v>
      </c>
      <c r="AH538" s="84"/>
      <c r="AI538" s="66"/>
      <c r="AJ538" s="54"/>
      <c r="AK538" s="54"/>
      <c r="AL538" s="54"/>
    </row>
    <row r="539" spans="1:38" outlineLevel="2" x14ac:dyDescent="0.25">
      <c r="A539" s="54"/>
      <c r="B539" s="63"/>
      <c r="C539" s="56">
        <f t="shared" si="59"/>
        <v>3</v>
      </c>
      <c r="D539" s="84"/>
      <c r="E539" s="79"/>
      <c r="F539" s="79" t="s">
        <v>1437</v>
      </c>
      <c r="G539" s="84"/>
      <c r="H539" s="87" t="s">
        <v>1438</v>
      </c>
      <c r="I539" s="108"/>
      <c r="J539" s="108" t="s">
        <v>1335</v>
      </c>
      <c r="K539" s="109">
        <v>1.1499999999999999</v>
      </c>
      <c r="L539" s="109">
        <v>1.1499999999999999</v>
      </c>
      <c r="M539" s="109">
        <v>1.1499999999999999</v>
      </c>
      <c r="N539" s="109">
        <v>1.1499999999999999</v>
      </c>
      <c r="O539" s="109">
        <v>1.1499999999999999</v>
      </c>
      <c r="P539" s="109">
        <v>1.1499999999999999</v>
      </c>
      <c r="Q539" s="87"/>
      <c r="R539" s="87" t="s">
        <v>634</v>
      </c>
      <c r="S539" s="87" t="s">
        <v>634</v>
      </c>
      <c r="T539" s="87"/>
      <c r="U539" s="311">
        <f t="shared" ref="U539:AB544" si="61">INDEX($K539:$Q539,1,U$54)</f>
        <v>1.1499999999999999</v>
      </c>
      <c r="V539" s="311">
        <f t="shared" si="61"/>
        <v>1.1499999999999999</v>
      </c>
      <c r="W539" s="311">
        <f t="shared" si="61"/>
        <v>1.1499999999999999</v>
      </c>
      <c r="X539" s="311">
        <f t="shared" si="61"/>
        <v>1.1499999999999999</v>
      </c>
      <c r="Y539" s="311">
        <f t="shared" si="61"/>
        <v>1.1499999999999999</v>
      </c>
      <c r="Z539" s="311">
        <f t="shared" si="61"/>
        <v>1.1499999999999999</v>
      </c>
      <c r="AA539" s="311">
        <f t="shared" si="61"/>
        <v>1.1499999999999999</v>
      </c>
      <c r="AB539" s="311">
        <f t="shared" si="61"/>
        <v>1.1499999999999999</v>
      </c>
      <c r="AC539" s="87"/>
      <c r="AD539" s="87"/>
      <c r="AE539" s="87"/>
      <c r="AF539" s="109">
        <v>1</v>
      </c>
      <c r="AG539" s="109">
        <v>1</v>
      </c>
      <c r="AH539" s="84"/>
      <c r="AI539" s="66"/>
      <c r="AJ539" s="54"/>
      <c r="AK539" s="54"/>
      <c r="AL539" s="54"/>
    </row>
    <row r="540" spans="1:38" outlineLevel="2" x14ac:dyDescent="0.25">
      <c r="A540" s="54"/>
      <c r="B540" s="63"/>
      <c r="C540" s="56">
        <f t="shared" si="59"/>
        <v>3</v>
      </c>
      <c r="D540" s="84"/>
      <c r="E540" s="79"/>
      <c r="F540" s="79" t="s">
        <v>1439</v>
      </c>
      <c r="G540" s="84"/>
      <c r="H540" s="87" t="s">
        <v>1440</v>
      </c>
      <c r="I540" s="108"/>
      <c r="J540" s="108" t="s">
        <v>1335</v>
      </c>
      <c r="K540" s="109">
        <v>1</v>
      </c>
      <c r="L540" s="109">
        <v>1</v>
      </c>
      <c r="M540" s="109">
        <v>1</v>
      </c>
      <c r="N540" s="109">
        <v>1</v>
      </c>
      <c r="O540" s="109">
        <v>1</v>
      </c>
      <c r="P540" s="109">
        <v>1</v>
      </c>
      <c r="Q540" s="87"/>
      <c r="R540" s="87" t="s">
        <v>634</v>
      </c>
      <c r="S540" s="87" t="s">
        <v>634</v>
      </c>
      <c r="T540" s="87"/>
      <c r="U540" s="311">
        <f t="shared" si="61"/>
        <v>1</v>
      </c>
      <c r="V540" s="311">
        <f t="shared" si="61"/>
        <v>1</v>
      </c>
      <c r="W540" s="311">
        <f t="shared" si="61"/>
        <v>1</v>
      </c>
      <c r="X540" s="311">
        <f t="shared" si="61"/>
        <v>1</v>
      </c>
      <c r="Y540" s="311">
        <f t="shared" si="61"/>
        <v>1</v>
      </c>
      <c r="Z540" s="311">
        <f t="shared" si="61"/>
        <v>1</v>
      </c>
      <c r="AA540" s="311">
        <f t="shared" si="61"/>
        <v>1</v>
      </c>
      <c r="AB540" s="311">
        <f t="shared" si="61"/>
        <v>1</v>
      </c>
      <c r="AC540" s="87"/>
      <c r="AD540" s="87"/>
      <c r="AE540" s="87"/>
      <c r="AF540" s="109">
        <v>1</v>
      </c>
      <c r="AG540" s="109">
        <v>1</v>
      </c>
      <c r="AH540" s="84"/>
      <c r="AI540" s="66"/>
      <c r="AJ540" s="54"/>
      <c r="AK540" s="54"/>
      <c r="AL540" s="54"/>
    </row>
    <row r="541" spans="1:38" outlineLevel="2" x14ac:dyDescent="0.25">
      <c r="A541" s="54"/>
      <c r="B541" s="63"/>
      <c r="C541" s="56">
        <f t="shared" si="59"/>
        <v>3</v>
      </c>
      <c r="D541" s="84"/>
      <c r="E541" s="79"/>
      <c r="F541" s="79" t="s">
        <v>1441</v>
      </c>
      <c r="G541" s="84"/>
      <c r="H541" s="87" t="s">
        <v>1442</v>
      </c>
      <c r="I541" s="108"/>
      <c r="J541" s="108" t="s">
        <v>1335</v>
      </c>
      <c r="K541" s="109">
        <v>1</v>
      </c>
      <c r="L541" s="109">
        <v>1</v>
      </c>
      <c r="M541" s="109">
        <v>1</v>
      </c>
      <c r="N541" s="109">
        <v>1</v>
      </c>
      <c r="O541" s="109">
        <v>1</v>
      </c>
      <c r="P541" s="109">
        <v>1</v>
      </c>
      <c r="Q541" s="87"/>
      <c r="R541" s="87" t="s">
        <v>634</v>
      </c>
      <c r="S541" s="87" t="s">
        <v>634</v>
      </c>
      <c r="T541" s="87"/>
      <c r="U541" s="311">
        <f t="shared" si="61"/>
        <v>1</v>
      </c>
      <c r="V541" s="311">
        <f t="shared" si="61"/>
        <v>1</v>
      </c>
      <c r="W541" s="311">
        <f t="shared" si="61"/>
        <v>1</v>
      </c>
      <c r="X541" s="311">
        <f t="shared" si="61"/>
        <v>1</v>
      </c>
      <c r="Y541" s="311">
        <f t="shared" si="61"/>
        <v>1</v>
      </c>
      <c r="Z541" s="311">
        <f t="shared" si="61"/>
        <v>1</v>
      </c>
      <c r="AA541" s="311">
        <f t="shared" si="61"/>
        <v>1</v>
      </c>
      <c r="AB541" s="311">
        <f t="shared" si="61"/>
        <v>1</v>
      </c>
      <c r="AC541" s="87"/>
      <c r="AD541" s="87"/>
      <c r="AE541" s="87"/>
      <c r="AF541" s="109">
        <v>1</v>
      </c>
      <c r="AG541" s="109">
        <v>1</v>
      </c>
      <c r="AH541" s="84"/>
      <c r="AI541" s="66"/>
      <c r="AJ541" s="54"/>
      <c r="AK541" s="54"/>
      <c r="AL541" s="54"/>
    </row>
    <row r="542" spans="1:38" outlineLevel="2" x14ac:dyDescent="0.25">
      <c r="A542" s="54"/>
      <c r="B542" s="63"/>
      <c r="C542" s="56">
        <f t="shared" si="59"/>
        <v>3</v>
      </c>
      <c r="D542" s="84"/>
      <c r="E542" s="79"/>
      <c r="F542" s="79" t="s">
        <v>1443</v>
      </c>
      <c r="G542" s="84"/>
      <c r="H542" s="87" t="s">
        <v>1444</v>
      </c>
      <c r="I542" s="108"/>
      <c r="J542" s="108" t="s">
        <v>1335</v>
      </c>
      <c r="K542" s="109">
        <v>1.4</v>
      </c>
      <c r="L542" s="109">
        <v>1.4</v>
      </c>
      <c r="M542" s="109">
        <v>1.4</v>
      </c>
      <c r="N542" s="109">
        <v>1.4</v>
      </c>
      <c r="O542" s="109">
        <v>1.4</v>
      </c>
      <c r="P542" s="109">
        <v>1.4</v>
      </c>
      <c r="Q542" s="87"/>
      <c r="R542" s="87" t="s">
        <v>634</v>
      </c>
      <c r="S542" s="87" t="s">
        <v>634</v>
      </c>
      <c r="T542" s="87"/>
      <c r="U542" s="311">
        <f t="shared" si="61"/>
        <v>1.4</v>
      </c>
      <c r="V542" s="311">
        <f t="shared" si="61"/>
        <v>1.4</v>
      </c>
      <c r="W542" s="311">
        <f t="shared" si="61"/>
        <v>1.4</v>
      </c>
      <c r="X542" s="311">
        <f t="shared" si="61"/>
        <v>1.4</v>
      </c>
      <c r="Y542" s="311">
        <f t="shared" si="61"/>
        <v>1.4</v>
      </c>
      <c r="Z542" s="311">
        <f t="shared" si="61"/>
        <v>1.4</v>
      </c>
      <c r="AA542" s="311">
        <f t="shared" si="61"/>
        <v>1.4</v>
      </c>
      <c r="AB542" s="311">
        <f t="shared" si="61"/>
        <v>1.4</v>
      </c>
      <c r="AC542" s="87"/>
      <c r="AD542" s="87"/>
      <c r="AE542" s="87"/>
      <c r="AF542" s="109">
        <v>1</v>
      </c>
      <c r="AG542" s="109">
        <v>1</v>
      </c>
      <c r="AH542" s="84"/>
      <c r="AI542" s="66"/>
      <c r="AJ542" s="54"/>
      <c r="AK542" s="54"/>
      <c r="AL542" s="54"/>
    </row>
    <row r="543" spans="1:38" outlineLevel="2" x14ac:dyDescent="0.25">
      <c r="A543" s="54"/>
      <c r="B543" s="63"/>
      <c r="C543" s="56">
        <f t="shared" si="59"/>
        <v>3</v>
      </c>
      <c r="D543" s="84"/>
      <c r="E543" s="79"/>
      <c r="F543" s="79" t="s">
        <v>1445</v>
      </c>
      <c r="G543" s="84"/>
      <c r="H543" s="87" t="s">
        <v>1446</v>
      </c>
      <c r="I543" s="108"/>
      <c r="J543" s="108" t="s">
        <v>1335</v>
      </c>
      <c r="K543" s="109">
        <v>1</v>
      </c>
      <c r="L543" s="109">
        <v>1</v>
      </c>
      <c r="M543" s="109">
        <v>1</v>
      </c>
      <c r="N543" s="109">
        <v>1</v>
      </c>
      <c r="O543" s="109">
        <v>1</v>
      </c>
      <c r="P543" s="109">
        <v>1</v>
      </c>
      <c r="Q543" s="87"/>
      <c r="R543" s="87" t="s">
        <v>634</v>
      </c>
      <c r="S543" s="87" t="s">
        <v>634</v>
      </c>
      <c r="T543" s="87"/>
      <c r="U543" s="311">
        <f t="shared" si="61"/>
        <v>1</v>
      </c>
      <c r="V543" s="311">
        <f t="shared" si="61"/>
        <v>1</v>
      </c>
      <c r="W543" s="311">
        <f t="shared" si="61"/>
        <v>1</v>
      </c>
      <c r="X543" s="311">
        <f t="shared" si="61"/>
        <v>1</v>
      </c>
      <c r="Y543" s="311">
        <f t="shared" si="61"/>
        <v>1</v>
      </c>
      <c r="Z543" s="311">
        <f t="shared" si="61"/>
        <v>1</v>
      </c>
      <c r="AA543" s="311">
        <f t="shared" si="61"/>
        <v>1</v>
      </c>
      <c r="AB543" s="311">
        <f t="shared" si="61"/>
        <v>1</v>
      </c>
      <c r="AC543" s="87"/>
      <c r="AD543" s="87"/>
      <c r="AE543" s="87"/>
      <c r="AF543" s="109">
        <v>1</v>
      </c>
      <c r="AG543" s="109">
        <v>1</v>
      </c>
      <c r="AH543" s="84"/>
      <c r="AI543" s="66"/>
      <c r="AJ543" s="54"/>
      <c r="AK543" s="54"/>
      <c r="AL543" s="54"/>
    </row>
    <row r="544" spans="1:38" outlineLevel="2" x14ac:dyDescent="0.25">
      <c r="A544" s="54"/>
      <c r="B544" s="63"/>
      <c r="C544" s="56">
        <f t="shared" si="59"/>
        <v>3</v>
      </c>
      <c r="D544" s="84"/>
      <c r="E544" s="79"/>
      <c r="F544" s="79" t="s">
        <v>1447</v>
      </c>
      <c r="G544" s="84"/>
      <c r="H544" s="87" t="s">
        <v>1448</v>
      </c>
      <c r="I544" s="108"/>
      <c r="J544" s="108" t="s">
        <v>1335</v>
      </c>
      <c r="K544" s="109">
        <v>1.2</v>
      </c>
      <c r="L544" s="109">
        <v>1.2</v>
      </c>
      <c r="M544" s="109">
        <v>1.2</v>
      </c>
      <c r="N544" s="109">
        <v>1.2</v>
      </c>
      <c r="O544" s="109">
        <v>1.2</v>
      </c>
      <c r="P544" s="109">
        <v>1.2</v>
      </c>
      <c r="Q544" s="87"/>
      <c r="R544" s="87" t="s">
        <v>634</v>
      </c>
      <c r="S544" s="87" t="s">
        <v>634</v>
      </c>
      <c r="T544" s="87"/>
      <c r="U544" s="311">
        <f t="shared" si="61"/>
        <v>1.2</v>
      </c>
      <c r="V544" s="311">
        <f t="shared" si="61"/>
        <v>1.2</v>
      </c>
      <c r="W544" s="311">
        <f t="shared" si="61"/>
        <v>1.2</v>
      </c>
      <c r="X544" s="311">
        <f t="shared" si="61"/>
        <v>1.2</v>
      </c>
      <c r="Y544" s="311">
        <f t="shared" si="61"/>
        <v>1.2</v>
      </c>
      <c r="Z544" s="311">
        <f t="shared" si="61"/>
        <v>1.2</v>
      </c>
      <c r="AA544" s="311">
        <f t="shared" si="61"/>
        <v>1.2</v>
      </c>
      <c r="AB544" s="311">
        <f t="shared" si="61"/>
        <v>1.2</v>
      </c>
      <c r="AC544" s="87"/>
      <c r="AD544" s="87"/>
      <c r="AE544" s="87"/>
      <c r="AF544" s="109">
        <v>1</v>
      </c>
      <c r="AG544" s="109">
        <v>1</v>
      </c>
      <c r="AH544" s="84"/>
      <c r="AI544" s="66"/>
      <c r="AJ544" s="54"/>
      <c r="AK544" s="54"/>
      <c r="AL544" s="54"/>
    </row>
    <row r="545" spans="1:38" outlineLevel="2" x14ac:dyDescent="0.25">
      <c r="A545" s="54"/>
      <c r="B545" s="63"/>
      <c r="C545" s="56">
        <f t="shared" si="59"/>
        <v>3</v>
      </c>
      <c r="D545" s="84"/>
      <c r="E545" s="79"/>
      <c r="F545" s="79" t="s">
        <v>1449</v>
      </c>
      <c r="G545" s="84"/>
      <c r="H545" s="87" t="s">
        <v>1450</v>
      </c>
      <c r="I545" s="108" t="s">
        <v>623</v>
      </c>
      <c r="J545" s="108" t="s">
        <v>1292</v>
      </c>
      <c r="K545" s="87"/>
      <c r="L545" s="87"/>
      <c r="M545" s="87"/>
      <c r="N545" s="87"/>
      <c r="O545" s="87"/>
      <c r="P545" s="87"/>
      <c r="Q545" s="87"/>
      <c r="R545" s="87"/>
      <c r="S545" s="87"/>
      <c r="T545" s="87"/>
      <c r="U545" s="109">
        <v>0</v>
      </c>
      <c r="V545" s="109">
        <v>0</v>
      </c>
      <c r="W545" s="109">
        <v>0</v>
      </c>
      <c r="X545" s="313">
        <f t="shared" ref="X545:AB550" si="62">W545</f>
        <v>0</v>
      </c>
      <c r="Y545" s="313">
        <f t="shared" si="62"/>
        <v>0</v>
      </c>
      <c r="Z545" s="313">
        <f t="shared" si="62"/>
        <v>0</v>
      </c>
      <c r="AA545" s="313">
        <f t="shared" si="62"/>
        <v>0</v>
      </c>
      <c r="AB545" s="313">
        <f t="shared" si="62"/>
        <v>0</v>
      </c>
      <c r="AC545" s="87"/>
      <c r="AD545" s="87"/>
      <c r="AE545" s="87"/>
      <c r="AF545" s="109">
        <v>1</v>
      </c>
      <c r="AG545" s="109">
        <v>1</v>
      </c>
      <c r="AH545" s="84"/>
      <c r="AI545" s="66"/>
      <c r="AJ545" s="54"/>
      <c r="AK545" s="54"/>
      <c r="AL545" s="54"/>
    </row>
    <row r="546" spans="1:38" outlineLevel="2" x14ac:dyDescent="0.25">
      <c r="A546" s="54"/>
      <c r="B546" s="63"/>
      <c r="C546" s="56">
        <f t="shared" si="59"/>
        <v>3</v>
      </c>
      <c r="D546" s="84"/>
      <c r="E546" s="79"/>
      <c r="F546" s="79" t="s">
        <v>1451</v>
      </c>
      <c r="G546" s="84"/>
      <c r="H546" s="87" t="s">
        <v>1452</v>
      </c>
      <c r="I546" s="108" t="s">
        <v>623</v>
      </c>
      <c r="J546" s="108" t="s">
        <v>1292</v>
      </c>
      <c r="K546" s="87"/>
      <c r="L546" s="87"/>
      <c r="M546" s="87"/>
      <c r="N546" s="87"/>
      <c r="O546" s="87"/>
      <c r="P546" s="87"/>
      <c r="Q546" s="87"/>
      <c r="R546" s="87"/>
      <c r="S546" s="87"/>
      <c r="T546" s="87"/>
      <c r="U546" s="109">
        <v>0</v>
      </c>
      <c r="V546" s="109">
        <v>0</v>
      </c>
      <c r="W546" s="109">
        <v>0</v>
      </c>
      <c r="X546" s="313">
        <f t="shared" si="62"/>
        <v>0</v>
      </c>
      <c r="Y546" s="313">
        <f t="shared" si="62"/>
        <v>0</v>
      </c>
      <c r="Z546" s="313">
        <f t="shared" si="62"/>
        <v>0</v>
      </c>
      <c r="AA546" s="313">
        <f t="shared" si="62"/>
        <v>0</v>
      </c>
      <c r="AB546" s="313">
        <f t="shared" si="62"/>
        <v>0</v>
      </c>
      <c r="AC546" s="87"/>
      <c r="AD546" s="87"/>
      <c r="AE546" s="87"/>
      <c r="AF546" s="109">
        <v>1</v>
      </c>
      <c r="AG546" s="109">
        <v>1</v>
      </c>
      <c r="AH546" s="84"/>
      <c r="AI546" s="66"/>
      <c r="AJ546" s="54"/>
      <c r="AK546" s="54"/>
      <c r="AL546" s="54"/>
    </row>
    <row r="547" spans="1:38" outlineLevel="2" x14ac:dyDescent="0.25">
      <c r="A547" s="54"/>
      <c r="B547" s="63"/>
      <c r="C547" s="56">
        <f t="shared" si="59"/>
        <v>3</v>
      </c>
      <c r="D547" s="84"/>
      <c r="E547" s="79"/>
      <c r="F547" s="79" t="s">
        <v>1453</v>
      </c>
      <c r="G547" s="84"/>
      <c r="H547" s="87" t="s">
        <v>1454</v>
      </c>
      <c r="I547" s="108" t="s">
        <v>623</v>
      </c>
      <c r="J547" s="108" t="s">
        <v>1292</v>
      </c>
      <c r="K547" s="87"/>
      <c r="L547" s="87"/>
      <c r="M547" s="87"/>
      <c r="N547" s="87"/>
      <c r="O547" s="87"/>
      <c r="P547" s="87"/>
      <c r="Q547" s="87"/>
      <c r="R547" s="87"/>
      <c r="S547" s="87"/>
      <c r="T547" s="87"/>
      <c r="U547" s="109">
        <v>0</v>
      </c>
      <c r="V547" s="109">
        <v>0</v>
      </c>
      <c r="W547" s="109">
        <v>0</v>
      </c>
      <c r="X547" s="313">
        <f t="shared" si="62"/>
        <v>0</v>
      </c>
      <c r="Y547" s="313">
        <f t="shared" si="62"/>
        <v>0</v>
      </c>
      <c r="Z547" s="313">
        <f t="shared" si="62"/>
        <v>0</v>
      </c>
      <c r="AA547" s="313">
        <f t="shared" si="62"/>
        <v>0</v>
      </c>
      <c r="AB547" s="313">
        <f t="shared" si="62"/>
        <v>0</v>
      </c>
      <c r="AC547" s="87"/>
      <c r="AD547" s="87"/>
      <c r="AE547" s="87"/>
      <c r="AF547" s="109">
        <v>1</v>
      </c>
      <c r="AG547" s="109">
        <v>1</v>
      </c>
      <c r="AH547" s="84"/>
      <c r="AI547" s="66"/>
      <c r="AJ547" s="54"/>
      <c r="AK547" s="54"/>
      <c r="AL547" s="54"/>
    </row>
    <row r="548" spans="1:38" outlineLevel="2" x14ac:dyDescent="0.25">
      <c r="A548" s="54"/>
      <c r="B548" s="63"/>
      <c r="C548" s="56">
        <f t="shared" si="59"/>
        <v>3</v>
      </c>
      <c r="D548" s="84"/>
      <c r="E548" s="79"/>
      <c r="F548" s="79" t="s">
        <v>1455</v>
      </c>
      <c r="G548" s="84"/>
      <c r="H548" s="87" t="s">
        <v>1456</v>
      </c>
      <c r="I548" s="108" t="s">
        <v>623</v>
      </c>
      <c r="J548" s="108" t="s">
        <v>1292</v>
      </c>
      <c r="K548" s="87"/>
      <c r="L548" s="87"/>
      <c r="M548" s="87"/>
      <c r="N548" s="87"/>
      <c r="O548" s="87"/>
      <c r="P548" s="87"/>
      <c r="Q548" s="87"/>
      <c r="R548" s="87"/>
      <c r="S548" s="87"/>
      <c r="T548" s="87"/>
      <c r="U548" s="109">
        <v>0</v>
      </c>
      <c r="V548" s="109">
        <v>0</v>
      </c>
      <c r="W548" s="109">
        <v>0</v>
      </c>
      <c r="X548" s="313">
        <f t="shared" si="62"/>
        <v>0</v>
      </c>
      <c r="Y548" s="313">
        <f t="shared" si="62"/>
        <v>0</v>
      </c>
      <c r="Z548" s="313">
        <f t="shared" si="62"/>
        <v>0</v>
      </c>
      <c r="AA548" s="313">
        <f t="shared" si="62"/>
        <v>0</v>
      </c>
      <c r="AB548" s="313">
        <f t="shared" si="62"/>
        <v>0</v>
      </c>
      <c r="AC548" s="87"/>
      <c r="AD548" s="87"/>
      <c r="AE548" s="87"/>
      <c r="AF548" s="109">
        <v>1</v>
      </c>
      <c r="AG548" s="109">
        <v>1</v>
      </c>
      <c r="AH548" s="84"/>
      <c r="AI548" s="66"/>
      <c r="AJ548" s="54"/>
      <c r="AK548" s="54"/>
      <c r="AL548" s="54"/>
    </row>
    <row r="549" spans="1:38" outlineLevel="2" x14ac:dyDescent="0.25">
      <c r="A549" s="54"/>
      <c r="B549" s="63"/>
      <c r="C549" s="56">
        <f t="shared" si="59"/>
        <v>3</v>
      </c>
      <c r="D549" s="84"/>
      <c r="E549" s="79"/>
      <c r="F549" s="79" t="s">
        <v>1457</v>
      </c>
      <c r="G549" s="84"/>
      <c r="H549" s="87" t="s">
        <v>1458</v>
      </c>
      <c r="I549" s="108" t="s">
        <v>623</v>
      </c>
      <c r="J549" s="108" t="s">
        <v>1292</v>
      </c>
      <c r="K549" s="87"/>
      <c r="L549" s="87"/>
      <c r="M549" s="87"/>
      <c r="N549" s="87"/>
      <c r="O549" s="87"/>
      <c r="P549" s="87"/>
      <c r="Q549" s="87"/>
      <c r="R549" s="87"/>
      <c r="S549" s="87"/>
      <c r="T549" s="87"/>
      <c r="U549" s="109">
        <v>0.26</v>
      </c>
      <c r="V549" s="109">
        <v>0.26</v>
      </c>
      <c r="W549" s="109">
        <v>0.26</v>
      </c>
      <c r="X549" s="313">
        <f t="shared" si="62"/>
        <v>0.26</v>
      </c>
      <c r="Y549" s="313">
        <f t="shared" si="62"/>
        <v>0.26</v>
      </c>
      <c r="Z549" s="313">
        <f t="shared" si="62"/>
        <v>0.26</v>
      </c>
      <c r="AA549" s="313">
        <f t="shared" si="62"/>
        <v>0.26</v>
      </c>
      <c r="AB549" s="313">
        <f t="shared" si="62"/>
        <v>0.26</v>
      </c>
      <c r="AC549" s="87"/>
      <c r="AD549" s="109" t="s">
        <v>1459</v>
      </c>
      <c r="AE549" s="87"/>
      <c r="AF549" s="109">
        <v>1</v>
      </c>
      <c r="AG549" s="109">
        <v>1</v>
      </c>
      <c r="AH549" s="84"/>
      <c r="AI549" s="66"/>
      <c r="AJ549" s="54"/>
      <c r="AK549" s="54"/>
      <c r="AL549" s="54"/>
    </row>
    <row r="550" spans="1:38" outlineLevel="2" collapsed="1" x14ac:dyDescent="0.25">
      <c r="A550" s="54"/>
      <c r="B550" s="63"/>
      <c r="C550" s="56">
        <f t="shared" si="59"/>
        <v>3</v>
      </c>
      <c r="D550" s="84"/>
      <c r="E550" s="79"/>
      <c r="F550" s="79" t="s">
        <v>1460</v>
      </c>
      <c r="G550" s="84"/>
      <c r="H550" s="87" t="s">
        <v>1461</v>
      </c>
      <c r="I550" s="108" t="s">
        <v>623</v>
      </c>
      <c r="J550" s="108" t="s">
        <v>1292</v>
      </c>
      <c r="K550" s="87"/>
      <c r="L550" s="87"/>
      <c r="M550" s="87"/>
      <c r="N550" s="87"/>
      <c r="O550" s="87"/>
      <c r="P550" s="87"/>
      <c r="Q550" s="87"/>
      <c r="R550" s="87"/>
      <c r="S550" s="87"/>
      <c r="T550" s="87"/>
      <c r="U550" s="109">
        <v>0</v>
      </c>
      <c r="V550" s="109">
        <v>0</v>
      </c>
      <c r="W550" s="109">
        <v>0</v>
      </c>
      <c r="X550" s="313">
        <f t="shared" si="62"/>
        <v>0</v>
      </c>
      <c r="Y550" s="313">
        <f t="shared" si="62"/>
        <v>0</v>
      </c>
      <c r="Z550" s="313">
        <f t="shared" si="62"/>
        <v>0</v>
      </c>
      <c r="AA550" s="313">
        <f t="shared" si="62"/>
        <v>0</v>
      </c>
      <c r="AB550" s="313">
        <f t="shared" si="62"/>
        <v>0</v>
      </c>
      <c r="AC550" s="87"/>
      <c r="AD550" s="87"/>
      <c r="AE550" s="87"/>
      <c r="AF550" s="109">
        <v>1</v>
      </c>
      <c r="AG550" s="109">
        <v>1</v>
      </c>
      <c r="AH550" s="84"/>
      <c r="AI550" s="66"/>
      <c r="AJ550" s="54"/>
      <c r="AK550" s="54"/>
      <c r="AL550" s="54"/>
    </row>
    <row r="551" spans="1:38" hidden="1" outlineLevel="3" x14ac:dyDescent="0.25">
      <c r="A551" s="54"/>
      <c r="B551" s="63"/>
      <c r="C551" s="56">
        <f t="shared" si="59"/>
        <v>3</v>
      </c>
      <c r="D551" s="84"/>
      <c r="E551" s="79"/>
      <c r="F551" s="79" t="s">
        <v>1462</v>
      </c>
      <c r="G551" s="84"/>
      <c r="H551" s="87" t="s">
        <v>727</v>
      </c>
      <c r="I551" s="108" t="s">
        <v>623</v>
      </c>
      <c r="J551" s="108"/>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1463</v>
      </c>
      <c r="G552" s="84"/>
      <c r="H552" s="87"/>
      <c r="I552" s="108" t="s">
        <v>623</v>
      </c>
      <c r="J552" s="108"/>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1464</v>
      </c>
      <c r="G553" s="84"/>
      <c r="H553" s="87"/>
      <c r="I553" s="108" t="s">
        <v>623</v>
      </c>
      <c r="J553" s="108"/>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25">
      <c r="A554" s="54"/>
      <c r="B554" s="63"/>
      <c r="C554" s="56">
        <f t="shared" si="59"/>
        <v>3</v>
      </c>
      <c r="D554" s="84"/>
      <c r="E554" s="79"/>
      <c r="F554" s="79" t="s">
        <v>1465</v>
      </c>
      <c r="G554" s="84"/>
      <c r="H554" s="87" t="s">
        <v>1466</v>
      </c>
      <c r="I554" s="108"/>
      <c r="J554" s="108" t="s">
        <v>1335</v>
      </c>
      <c r="K554" s="109">
        <f>5.1/5</f>
        <v>1.02</v>
      </c>
      <c r="L554" s="109">
        <f>5.1/5</f>
        <v>1.02</v>
      </c>
      <c r="M554" s="109">
        <v>1</v>
      </c>
      <c r="N554" s="109">
        <v>1</v>
      </c>
      <c r="O554" s="109">
        <v>1</v>
      </c>
      <c r="P554" s="109">
        <v>1</v>
      </c>
      <c r="Q554" s="87"/>
      <c r="R554" s="87" t="s">
        <v>1467</v>
      </c>
      <c r="S554" s="87"/>
      <c r="T554" s="87"/>
      <c r="U554" s="311">
        <f t="shared" ref="U554:AB556" si="63">INDEX($K554:$Q554,1,U$54)</f>
        <v>1.02</v>
      </c>
      <c r="V554" s="311">
        <f t="shared" si="63"/>
        <v>1.02</v>
      </c>
      <c r="W554" s="311">
        <f t="shared" si="63"/>
        <v>1.02</v>
      </c>
      <c r="X554" s="311">
        <f t="shared" si="63"/>
        <v>1.02</v>
      </c>
      <c r="Y554" s="311">
        <f t="shared" si="63"/>
        <v>1.02</v>
      </c>
      <c r="Z554" s="311">
        <f t="shared" si="63"/>
        <v>1.02</v>
      </c>
      <c r="AA554" s="311">
        <f t="shared" si="63"/>
        <v>1.02</v>
      </c>
      <c r="AB554" s="311">
        <f t="shared" si="63"/>
        <v>1.02</v>
      </c>
      <c r="AC554" s="87"/>
      <c r="AD554" s="87"/>
      <c r="AE554" s="87"/>
      <c r="AF554" s="109">
        <v>1</v>
      </c>
      <c r="AG554" s="109">
        <v>1</v>
      </c>
      <c r="AH554" s="84"/>
      <c r="AI554" s="66"/>
      <c r="AJ554" s="54"/>
      <c r="AK554" s="54"/>
      <c r="AL554" s="54"/>
    </row>
    <row r="555" spans="1:38" outlineLevel="2" x14ac:dyDescent="0.25">
      <c r="A555" s="54"/>
      <c r="B555" s="63"/>
      <c r="C555" s="56">
        <f t="shared" si="59"/>
        <v>3</v>
      </c>
      <c r="D555" s="84"/>
      <c r="E555" s="79"/>
      <c r="F555" s="79" t="s">
        <v>1468</v>
      </c>
      <c r="G555" s="84"/>
      <c r="H555" s="87" t="s">
        <v>1469</v>
      </c>
      <c r="I555" s="108"/>
      <c r="J555" s="108" t="s">
        <v>1335</v>
      </c>
      <c r="K555" s="109">
        <f>4.9/5</f>
        <v>0.98000000000000009</v>
      </c>
      <c r="L555" s="109">
        <f>4.9/5</f>
        <v>0.98000000000000009</v>
      </c>
      <c r="M555" s="109">
        <v>1</v>
      </c>
      <c r="N555" s="109">
        <v>1</v>
      </c>
      <c r="O555" s="109">
        <v>1</v>
      </c>
      <c r="P555" s="109">
        <v>1</v>
      </c>
      <c r="Q555" s="87"/>
      <c r="R555" s="87" t="s">
        <v>1470</v>
      </c>
      <c r="S555" s="87"/>
      <c r="T555" s="87"/>
      <c r="U555" s="311">
        <f t="shared" si="63"/>
        <v>0.98000000000000009</v>
      </c>
      <c r="V555" s="311">
        <f t="shared" si="63"/>
        <v>0.98000000000000009</v>
      </c>
      <c r="W555" s="311">
        <f t="shared" si="63"/>
        <v>0.98000000000000009</v>
      </c>
      <c r="X555" s="311">
        <f t="shared" si="63"/>
        <v>0.98000000000000009</v>
      </c>
      <c r="Y555" s="311">
        <f t="shared" si="63"/>
        <v>0.98000000000000009</v>
      </c>
      <c r="Z555" s="311">
        <f t="shared" si="63"/>
        <v>0.98000000000000009</v>
      </c>
      <c r="AA555" s="311">
        <f t="shared" si="63"/>
        <v>0.98000000000000009</v>
      </c>
      <c r="AB555" s="311">
        <f t="shared" si="63"/>
        <v>0.98000000000000009</v>
      </c>
      <c r="AC555" s="87"/>
      <c r="AD555" s="87"/>
      <c r="AE555" s="87"/>
      <c r="AF555" s="109">
        <v>1</v>
      </c>
      <c r="AG555" s="109">
        <v>1</v>
      </c>
      <c r="AH555" s="84"/>
      <c r="AI555" s="66"/>
      <c r="AJ555" s="54"/>
      <c r="AK555" s="54"/>
      <c r="AL555" s="54"/>
    </row>
    <row r="556" spans="1:38" outlineLevel="2" x14ac:dyDescent="0.25">
      <c r="A556" s="54"/>
      <c r="B556" s="63"/>
      <c r="C556" s="56">
        <f t="shared" si="59"/>
        <v>3</v>
      </c>
      <c r="D556" s="84"/>
      <c r="E556" s="79"/>
      <c r="F556" s="79" t="s">
        <v>1471</v>
      </c>
      <c r="G556" s="84"/>
      <c r="H556" s="87" t="s">
        <v>1472</v>
      </c>
      <c r="I556" s="108"/>
      <c r="J556" s="108" t="s">
        <v>1335</v>
      </c>
      <c r="K556" s="311">
        <f t="shared" ref="K556:P556" si="64">K554</f>
        <v>1.02</v>
      </c>
      <c r="L556" s="311">
        <f t="shared" si="64"/>
        <v>1.02</v>
      </c>
      <c r="M556" s="311">
        <f t="shared" si="64"/>
        <v>1</v>
      </c>
      <c r="N556" s="311">
        <f t="shared" si="64"/>
        <v>1</v>
      </c>
      <c r="O556" s="311">
        <f t="shared" si="64"/>
        <v>1</v>
      </c>
      <c r="P556" s="311">
        <f t="shared" si="64"/>
        <v>1</v>
      </c>
      <c r="Q556" s="87"/>
      <c r="R556" s="87"/>
      <c r="S556" s="87"/>
      <c r="T556" s="87"/>
      <c r="U556" s="311">
        <f t="shared" si="63"/>
        <v>1.02</v>
      </c>
      <c r="V556" s="311">
        <f t="shared" si="63"/>
        <v>1.02</v>
      </c>
      <c r="W556" s="311">
        <f t="shared" si="63"/>
        <v>1.02</v>
      </c>
      <c r="X556" s="311">
        <f t="shared" si="63"/>
        <v>1.02</v>
      </c>
      <c r="Y556" s="311">
        <f t="shared" si="63"/>
        <v>1.02</v>
      </c>
      <c r="Z556" s="311">
        <f t="shared" si="63"/>
        <v>1.02</v>
      </c>
      <c r="AA556" s="311">
        <f t="shared" si="63"/>
        <v>1.02</v>
      </c>
      <c r="AB556" s="311">
        <f t="shared" si="63"/>
        <v>1.02</v>
      </c>
      <c r="AC556" s="87"/>
      <c r="AD556" s="87"/>
      <c r="AE556" s="87"/>
      <c r="AF556" s="109">
        <v>1</v>
      </c>
      <c r="AG556" s="109">
        <v>1</v>
      </c>
      <c r="AH556" s="84"/>
      <c r="AI556" s="66"/>
      <c r="AJ556" s="54"/>
      <c r="AK556" s="54"/>
      <c r="AL556" s="54"/>
    </row>
    <row r="557" spans="1:38" outlineLevel="2" x14ac:dyDescent="0.25">
      <c r="A557" s="54"/>
      <c r="B557" s="63"/>
      <c r="C557" s="56">
        <f t="shared" si="59"/>
        <v>3</v>
      </c>
      <c r="D557" s="84"/>
      <c r="E557" s="79"/>
      <c r="F557" s="79" t="s">
        <v>1473</v>
      </c>
      <c r="G557" s="84"/>
      <c r="H557" s="87" t="s">
        <v>1474</v>
      </c>
      <c r="I557" s="108" t="s">
        <v>623</v>
      </c>
      <c r="J557" s="108" t="s">
        <v>1292</v>
      </c>
      <c r="K557" s="87"/>
      <c r="L557" s="87"/>
      <c r="M557" s="87"/>
      <c r="N557" s="87"/>
      <c r="O557" s="87"/>
      <c r="P557" s="87"/>
      <c r="Q557" s="87"/>
      <c r="R557" s="87"/>
      <c r="S557" s="87"/>
      <c r="T557" s="87"/>
      <c r="U557" s="109">
        <v>0</v>
      </c>
      <c r="V557" s="109">
        <v>0</v>
      </c>
      <c r="W557" s="109">
        <v>0</v>
      </c>
      <c r="X557" s="313">
        <f t="shared" ref="X557:AB565" si="65">W557</f>
        <v>0</v>
      </c>
      <c r="Y557" s="109">
        <v>0.34899999999999998</v>
      </c>
      <c r="Z557" s="313">
        <f t="shared" si="65"/>
        <v>0.34899999999999998</v>
      </c>
      <c r="AA557" s="313">
        <f t="shared" si="65"/>
        <v>0.34899999999999998</v>
      </c>
      <c r="AB557" s="313">
        <f t="shared" si="65"/>
        <v>0.34899999999999998</v>
      </c>
      <c r="AC557" s="87"/>
      <c r="AD557" s="109" t="s">
        <v>2420</v>
      </c>
      <c r="AE557" s="87"/>
      <c r="AF557" s="109">
        <v>1</v>
      </c>
      <c r="AG557" s="109">
        <v>1</v>
      </c>
      <c r="AH557" s="84"/>
      <c r="AI557" s="66"/>
      <c r="AJ557" s="54"/>
      <c r="AK557" s="54"/>
      <c r="AL557" s="54"/>
    </row>
    <row r="558" spans="1:38" outlineLevel="2" x14ac:dyDescent="0.25">
      <c r="A558" s="54"/>
      <c r="B558" s="63"/>
      <c r="C558" s="56">
        <f t="shared" si="59"/>
        <v>3</v>
      </c>
      <c r="D558" s="84"/>
      <c r="E558" s="79"/>
      <c r="F558" s="79" t="s">
        <v>1475</v>
      </c>
      <c r="G558" s="84"/>
      <c r="H558" s="87" t="s">
        <v>1476</v>
      </c>
      <c r="I558" s="108" t="s">
        <v>623</v>
      </c>
      <c r="J558" s="108" t="s">
        <v>1292</v>
      </c>
      <c r="K558" s="87"/>
      <c r="L558" s="87"/>
      <c r="M558" s="87"/>
      <c r="N558" s="87"/>
      <c r="O558" s="87"/>
      <c r="P558" s="87"/>
      <c r="Q558" s="87"/>
      <c r="R558" s="87"/>
      <c r="S558" s="87"/>
      <c r="T558" s="87"/>
      <c r="U558" s="109">
        <v>-0.2</v>
      </c>
      <c r="V558" s="109">
        <v>-0.2</v>
      </c>
      <c r="W558" s="109">
        <v>-0.2</v>
      </c>
      <c r="X558" s="313">
        <f t="shared" si="65"/>
        <v>-0.2</v>
      </c>
      <c r="Y558" s="109">
        <v>0</v>
      </c>
      <c r="Z558" s="313">
        <f t="shared" si="65"/>
        <v>0</v>
      </c>
      <c r="AA558" s="313">
        <f t="shared" si="65"/>
        <v>0</v>
      </c>
      <c r="AB558" s="313">
        <f t="shared" si="65"/>
        <v>0</v>
      </c>
      <c r="AC558" s="87"/>
      <c r="AD558" s="87"/>
      <c r="AE558" s="87"/>
      <c r="AF558" s="109">
        <v>1</v>
      </c>
      <c r="AG558" s="109">
        <v>1</v>
      </c>
      <c r="AH558" s="84"/>
      <c r="AI558" s="66"/>
      <c r="AJ558" s="54"/>
      <c r="AK558" s="54"/>
      <c r="AL558" s="54"/>
    </row>
    <row r="559" spans="1:38" outlineLevel="2" x14ac:dyDescent="0.25">
      <c r="A559" s="54"/>
      <c r="B559" s="63"/>
      <c r="C559" s="56">
        <f t="shared" si="59"/>
        <v>3</v>
      </c>
      <c r="D559" s="84"/>
      <c r="E559" s="79"/>
      <c r="F559" s="79" t="s">
        <v>1477</v>
      </c>
      <c r="G559" s="84"/>
      <c r="H559" s="87" t="s">
        <v>1478</v>
      </c>
      <c r="I559" s="108" t="s">
        <v>623</v>
      </c>
      <c r="J559" s="108" t="s">
        <v>1292</v>
      </c>
      <c r="K559" s="87"/>
      <c r="L559" s="87"/>
      <c r="M559" s="87"/>
      <c r="N559" s="87"/>
      <c r="O559" s="87"/>
      <c r="P559" s="87"/>
      <c r="Q559" s="87"/>
      <c r="R559" s="87"/>
      <c r="S559" s="87"/>
      <c r="T559" s="87"/>
      <c r="U559" s="109">
        <v>0</v>
      </c>
      <c r="V559" s="109">
        <v>0</v>
      </c>
      <c r="W559" s="109">
        <v>0</v>
      </c>
      <c r="X559" s="313">
        <f t="shared" si="65"/>
        <v>0</v>
      </c>
      <c r="Y559" s="311">
        <f>Y557</f>
        <v>0.34899999999999998</v>
      </c>
      <c r="Z559" s="313">
        <f t="shared" si="65"/>
        <v>0.34899999999999998</v>
      </c>
      <c r="AA559" s="313">
        <f t="shared" si="65"/>
        <v>0.34899999999999998</v>
      </c>
      <c r="AB559" s="313">
        <f t="shared" si="65"/>
        <v>0.34899999999999998</v>
      </c>
      <c r="AC559" s="87"/>
      <c r="AD559" s="87"/>
      <c r="AE559" s="87"/>
      <c r="AF559" s="109">
        <v>1</v>
      </c>
      <c r="AG559" s="109">
        <v>1</v>
      </c>
      <c r="AH559" s="84"/>
      <c r="AI559" s="66"/>
      <c r="AJ559" s="54"/>
      <c r="AK559" s="54"/>
      <c r="AL559" s="54"/>
    </row>
    <row r="560" spans="1:38" outlineLevel="2" x14ac:dyDescent="0.25">
      <c r="A560" s="54"/>
      <c r="B560" s="63"/>
      <c r="C560" s="56">
        <f t="shared" si="59"/>
        <v>3</v>
      </c>
      <c r="D560" s="84"/>
      <c r="E560" s="79"/>
      <c r="F560" s="79" t="s">
        <v>1479</v>
      </c>
      <c r="G560" s="84"/>
      <c r="H560" s="87" t="s">
        <v>1480</v>
      </c>
      <c r="I560" s="108" t="s">
        <v>623</v>
      </c>
      <c r="J560" s="108" t="s">
        <v>1292</v>
      </c>
      <c r="K560" s="87"/>
      <c r="L560" s="87"/>
      <c r="M560" s="87"/>
      <c r="N560" s="87"/>
      <c r="O560" s="87"/>
      <c r="P560" s="87"/>
      <c r="Q560" s="87"/>
      <c r="R560" s="87"/>
      <c r="S560" s="87"/>
      <c r="T560" s="87"/>
      <c r="U560" s="109">
        <v>0</v>
      </c>
      <c r="V560" s="109">
        <v>0</v>
      </c>
      <c r="W560" s="109">
        <v>0</v>
      </c>
      <c r="X560" s="313">
        <f t="shared" si="65"/>
        <v>0</v>
      </c>
      <c r="Y560" s="109">
        <v>1.42</v>
      </c>
      <c r="Z560" s="313">
        <f t="shared" si="65"/>
        <v>1.42</v>
      </c>
      <c r="AA560" s="313">
        <f t="shared" si="65"/>
        <v>1.42</v>
      </c>
      <c r="AB560" s="313">
        <f t="shared" si="65"/>
        <v>1.42</v>
      </c>
      <c r="AC560" s="87"/>
      <c r="AD560" s="109" t="s">
        <v>2420</v>
      </c>
      <c r="AE560" s="87"/>
      <c r="AF560" s="109">
        <v>1</v>
      </c>
      <c r="AG560" s="109">
        <v>1</v>
      </c>
      <c r="AH560" s="84"/>
      <c r="AI560" s="66"/>
      <c r="AJ560" s="54"/>
      <c r="AK560" s="54"/>
      <c r="AL560" s="54"/>
    </row>
    <row r="561" spans="1:38" outlineLevel="2" x14ac:dyDescent="0.25">
      <c r="A561" s="54"/>
      <c r="B561" s="63"/>
      <c r="C561" s="56">
        <f t="shared" si="59"/>
        <v>3</v>
      </c>
      <c r="D561" s="84"/>
      <c r="E561" s="79"/>
      <c r="F561" s="79" t="s">
        <v>1481</v>
      </c>
      <c r="G561" s="84"/>
      <c r="H561" s="87" t="s">
        <v>1482</v>
      </c>
      <c r="I561" s="108" t="s">
        <v>623</v>
      </c>
      <c r="J561" s="108" t="s">
        <v>1292</v>
      </c>
      <c r="K561" s="87"/>
      <c r="L561" s="87"/>
      <c r="M561" s="87"/>
      <c r="N561" s="87"/>
      <c r="O561" s="87"/>
      <c r="P561" s="87"/>
      <c r="Q561" s="87"/>
      <c r="R561" s="87"/>
      <c r="S561" s="87"/>
      <c r="T561" s="87"/>
      <c r="U561" s="109">
        <v>-0.72</v>
      </c>
      <c r="V561" s="109">
        <v>-0.72</v>
      </c>
      <c r="W561" s="109">
        <v>-0.72</v>
      </c>
      <c r="X561" s="313">
        <f t="shared" si="65"/>
        <v>-0.72</v>
      </c>
      <c r="Y561" s="109">
        <v>0</v>
      </c>
      <c r="Z561" s="313">
        <f t="shared" si="65"/>
        <v>0</v>
      </c>
      <c r="AA561" s="313">
        <f t="shared" si="65"/>
        <v>0</v>
      </c>
      <c r="AB561" s="313">
        <f t="shared" si="65"/>
        <v>0</v>
      </c>
      <c r="AC561" s="87"/>
      <c r="AD561" s="109" t="s">
        <v>1483</v>
      </c>
      <c r="AE561" s="87"/>
      <c r="AF561" s="109">
        <v>1</v>
      </c>
      <c r="AG561" s="109">
        <v>1</v>
      </c>
      <c r="AH561" s="84"/>
      <c r="AI561" s="66"/>
      <c r="AJ561" s="54"/>
      <c r="AK561" s="54"/>
      <c r="AL561" s="54"/>
    </row>
    <row r="562" spans="1:38" outlineLevel="2" x14ac:dyDescent="0.25">
      <c r="A562" s="54"/>
      <c r="B562" s="63"/>
      <c r="C562" s="56">
        <f t="shared" si="59"/>
        <v>3</v>
      </c>
      <c r="D562" s="84"/>
      <c r="E562" s="79"/>
      <c r="F562" s="79" t="s">
        <v>1484</v>
      </c>
      <c r="G562" s="84"/>
      <c r="H562" s="87" t="s">
        <v>1485</v>
      </c>
      <c r="I562" s="108" t="s">
        <v>623</v>
      </c>
      <c r="J562" s="108" t="s">
        <v>1292</v>
      </c>
      <c r="K562" s="87"/>
      <c r="L562" s="87"/>
      <c r="M562" s="87"/>
      <c r="N562" s="87"/>
      <c r="O562" s="87"/>
      <c r="P562" s="87"/>
      <c r="Q562" s="87"/>
      <c r="R562" s="87"/>
      <c r="S562" s="87"/>
      <c r="T562" s="87"/>
      <c r="U562" s="109">
        <v>0</v>
      </c>
      <c r="V562" s="109">
        <v>0</v>
      </c>
      <c r="W562" s="109">
        <v>0</v>
      </c>
      <c r="X562" s="313">
        <f t="shared" si="65"/>
        <v>0</v>
      </c>
      <c r="Y562" s="311">
        <f>Y560</f>
        <v>1.42</v>
      </c>
      <c r="Z562" s="313">
        <f t="shared" si="65"/>
        <v>1.42</v>
      </c>
      <c r="AA562" s="313">
        <f t="shared" si="65"/>
        <v>1.42</v>
      </c>
      <c r="AB562" s="313">
        <f t="shared" si="65"/>
        <v>1.42</v>
      </c>
      <c r="AC562" s="87"/>
      <c r="AD562" s="87"/>
      <c r="AE562" s="87"/>
      <c r="AF562" s="109">
        <v>1</v>
      </c>
      <c r="AG562" s="109">
        <v>1</v>
      </c>
      <c r="AH562" s="84"/>
      <c r="AI562" s="66"/>
      <c r="AJ562" s="54"/>
      <c r="AK562" s="54"/>
      <c r="AL562" s="54"/>
    </row>
    <row r="563" spans="1:38" outlineLevel="2" x14ac:dyDescent="0.25">
      <c r="A563" s="54"/>
      <c r="B563" s="63"/>
      <c r="C563" s="56">
        <f t="shared" si="59"/>
        <v>3</v>
      </c>
      <c r="D563" s="84"/>
      <c r="E563" s="79"/>
      <c r="F563" s="79" t="s">
        <v>1486</v>
      </c>
      <c r="G563" s="84"/>
      <c r="H563" s="87" t="s">
        <v>1487</v>
      </c>
      <c r="I563" s="108" t="s">
        <v>623</v>
      </c>
      <c r="J563" s="108" t="s">
        <v>1292</v>
      </c>
      <c r="K563" s="87"/>
      <c r="L563" s="87"/>
      <c r="M563" s="87"/>
      <c r="N563" s="87"/>
      <c r="O563" s="87"/>
      <c r="P563" s="87"/>
      <c r="Q563" s="87"/>
      <c r="R563" s="87"/>
      <c r="S563" s="87"/>
      <c r="T563" s="87"/>
      <c r="U563" s="109">
        <v>0</v>
      </c>
      <c r="V563" s="109">
        <v>0</v>
      </c>
      <c r="W563" s="109">
        <v>0</v>
      </c>
      <c r="X563" s="313">
        <f t="shared" si="65"/>
        <v>0</v>
      </c>
      <c r="Y563" s="313">
        <f t="shared" si="65"/>
        <v>0</v>
      </c>
      <c r="Z563" s="313">
        <f t="shared" si="65"/>
        <v>0</v>
      </c>
      <c r="AA563" s="313">
        <f t="shared" si="65"/>
        <v>0</v>
      </c>
      <c r="AB563" s="313">
        <f t="shared" si="65"/>
        <v>0</v>
      </c>
      <c r="AC563" s="87"/>
      <c r="AD563" s="87"/>
      <c r="AE563" s="87"/>
      <c r="AF563" s="109">
        <v>1</v>
      </c>
      <c r="AG563" s="109">
        <v>1</v>
      </c>
      <c r="AH563" s="84"/>
      <c r="AI563" s="66"/>
      <c r="AJ563" s="54"/>
      <c r="AK563" s="54"/>
      <c r="AL563" s="54"/>
    </row>
    <row r="564" spans="1:38" outlineLevel="2" x14ac:dyDescent="0.25">
      <c r="A564" s="54"/>
      <c r="B564" s="63"/>
      <c r="C564" s="56">
        <f t="shared" si="59"/>
        <v>3</v>
      </c>
      <c r="D564" s="84"/>
      <c r="E564" s="79"/>
      <c r="F564" s="79" t="s">
        <v>1488</v>
      </c>
      <c r="G564" s="84"/>
      <c r="H564" s="87" t="s">
        <v>1489</v>
      </c>
      <c r="I564" s="108" t="s">
        <v>623</v>
      </c>
      <c r="J564" s="108" t="s">
        <v>1292</v>
      </c>
      <c r="K564" s="87"/>
      <c r="L564" s="87"/>
      <c r="M564" s="87"/>
      <c r="N564" s="87"/>
      <c r="O564" s="87"/>
      <c r="P564" s="87"/>
      <c r="Q564" s="87"/>
      <c r="R564" s="87"/>
      <c r="S564" s="87"/>
      <c r="T564" s="87"/>
      <c r="U564" s="109">
        <f>-7/1000</f>
        <v>-7.0000000000000001E-3</v>
      </c>
      <c r="V564" s="109">
        <f>-7/1000</f>
        <v>-7.0000000000000001E-3</v>
      </c>
      <c r="W564" s="109">
        <f>-7/1000</f>
        <v>-7.0000000000000001E-3</v>
      </c>
      <c r="X564" s="313">
        <f t="shared" si="65"/>
        <v>-7.0000000000000001E-3</v>
      </c>
      <c r="Y564" s="313">
        <f t="shared" si="65"/>
        <v>-7.0000000000000001E-3</v>
      </c>
      <c r="Z564" s="313">
        <f t="shared" si="65"/>
        <v>-7.0000000000000001E-3</v>
      </c>
      <c r="AA564" s="313">
        <f t="shared" si="65"/>
        <v>-7.0000000000000001E-3</v>
      </c>
      <c r="AB564" s="313">
        <f t="shared" si="65"/>
        <v>-7.0000000000000001E-3</v>
      </c>
      <c r="AC564" s="87"/>
      <c r="AD564" s="109" t="s">
        <v>1490</v>
      </c>
      <c r="AE564" s="87"/>
      <c r="AF564" s="109">
        <v>1</v>
      </c>
      <c r="AG564" s="109">
        <v>1</v>
      </c>
      <c r="AH564" s="84"/>
      <c r="AI564" s="66"/>
      <c r="AJ564" s="54"/>
      <c r="AK564" s="54"/>
      <c r="AL564" s="54"/>
    </row>
    <row r="565" spans="1:38" outlineLevel="2" collapsed="1" x14ac:dyDescent="0.25">
      <c r="A565" s="54"/>
      <c r="B565" s="63"/>
      <c r="C565" s="56">
        <f t="shared" si="59"/>
        <v>3</v>
      </c>
      <c r="D565" s="84"/>
      <c r="E565" s="79"/>
      <c r="F565" s="79" t="s">
        <v>1491</v>
      </c>
      <c r="G565" s="84"/>
      <c r="H565" s="87" t="s">
        <v>1492</v>
      </c>
      <c r="I565" s="108" t="s">
        <v>623</v>
      </c>
      <c r="J565" s="108" t="s">
        <v>1292</v>
      </c>
      <c r="K565" s="87"/>
      <c r="L565" s="87"/>
      <c r="M565" s="87"/>
      <c r="N565" s="87"/>
      <c r="O565" s="87"/>
      <c r="P565" s="87"/>
      <c r="Q565" s="87"/>
      <c r="R565" s="87"/>
      <c r="S565" s="87"/>
      <c r="T565" s="87"/>
      <c r="U565" s="109">
        <v>0</v>
      </c>
      <c r="V565" s="109">
        <v>0</v>
      </c>
      <c r="W565" s="109">
        <v>0</v>
      </c>
      <c r="X565" s="313">
        <f t="shared" si="65"/>
        <v>0</v>
      </c>
      <c r="Y565" s="313">
        <f t="shared" si="65"/>
        <v>0</v>
      </c>
      <c r="Z565" s="313">
        <f t="shared" si="65"/>
        <v>0</v>
      </c>
      <c r="AA565" s="313">
        <f t="shared" si="65"/>
        <v>0</v>
      </c>
      <c r="AB565" s="313">
        <f t="shared" si="65"/>
        <v>0</v>
      </c>
      <c r="AC565" s="87"/>
      <c r="AD565" s="87"/>
      <c r="AE565" s="87"/>
      <c r="AF565" s="109">
        <v>1</v>
      </c>
      <c r="AG565" s="109">
        <v>1</v>
      </c>
      <c r="AH565" s="84"/>
      <c r="AI565" s="66"/>
      <c r="AJ565" s="54"/>
      <c r="AK565" s="54"/>
      <c r="AL565" s="54"/>
    </row>
    <row r="566" spans="1:38" hidden="1" outlineLevel="3" x14ac:dyDescent="0.25">
      <c r="A566" s="54"/>
      <c r="B566" s="63"/>
      <c r="C566" s="56">
        <f t="shared" si="59"/>
        <v>3</v>
      </c>
      <c r="D566" s="84"/>
      <c r="E566" s="79"/>
      <c r="F566" s="79" t="s">
        <v>1493</v>
      </c>
      <c r="G566" s="84"/>
      <c r="H566" s="87" t="s">
        <v>727</v>
      </c>
      <c r="I566" s="108" t="s">
        <v>623</v>
      </c>
      <c r="J566" s="108"/>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1494</v>
      </c>
      <c r="G567" s="84"/>
      <c r="H567" s="87"/>
      <c r="I567" s="108" t="s">
        <v>623</v>
      </c>
      <c r="J567" s="108"/>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1495</v>
      </c>
      <c r="G568" s="84"/>
      <c r="H568" s="87"/>
      <c r="I568" s="108" t="s">
        <v>623</v>
      </c>
      <c r="J568" s="108"/>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25">
      <c r="A569" s="54"/>
      <c r="B569" s="63"/>
      <c r="C569" s="56">
        <f t="shared" si="59"/>
        <v>3</v>
      </c>
      <c r="D569" s="84"/>
      <c r="E569" s="79"/>
      <c r="F569" s="79" t="s">
        <v>1496</v>
      </c>
      <c r="G569" s="84"/>
      <c r="H569" s="87" t="s">
        <v>1497</v>
      </c>
      <c r="I569" s="108" t="s">
        <v>623</v>
      </c>
      <c r="J569" s="108"/>
      <c r="K569" s="87"/>
      <c r="L569" s="87"/>
      <c r="M569" s="87"/>
      <c r="N569" s="87"/>
      <c r="O569" s="87"/>
      <c r="P569" s="87"/>
      <c r="Q569" s="87"/>
      <c r="R569" s="87"/>
      <c r="S569" s="87"/>
      <c r="T569" s="87"/>
      <c r="U569" s="109">
        <v>0</v>
      </c>
      <c r="V569" s="109">
        <v>0</v>
      </c>
      <c r="W569" s="109">
        <v>0</v>
      </c>
      <c r="X569" s="109">
        <v>0</v>
      </c>
      <c r="Y569" s="109">
        <v>0</v>
      </c>
      <c r="Z569" s="109">
        <v>0</v>
      </c>
      <c r="AA569" s="109">
        <v>0</v>
      </c>
      <c r="AB569" s="109">
        <v>0</v>
      </c>
      <c r="AC569" s="87"/>
      <c r="AD569" s="109" t="s">
        <v>1498</v>
      </c>
      <c r="AE569" s="87"/>
      <c r="AF569" s="109">
        <v>1</v>
      </c>
      <c r="AG569" s="109">
        <v>1</v>
      </c>
      <c r="AH569" s="84"/>
      <c r="AI569" s="66"/>
      <c r="AJ569" s="54"/>
      <c r="AK569" s="54"/>
      <c r="AL569" s="54"/>
    </row>
    <row r="570" spans="1:38" outlineLevel="2" x14ac:dyDescent="0.25">
      <c r="A570" s="54"/>
      <c r="B570" s="63"/>
      <c r="C570" s="56">
        <f t="shared" si="59"/>
        <v>3</v>
      </c>
      <c r="D570" s="84"/>
      <c r="E570" s="79"/>
      <c r="F570" s="79" t="s">
        <v>1499</v>
      </c>
      <c r="G570" s="84"/>
      <c r="H570" s="87" t="s">
        <v>1500</v>
      </c>
      <c r="I570" s="108" t="s">
        <v>623</v>
      </c>
      <c r="J570" s="108"/>
      <c r="K570" s="87"/>
      <c r="L570" s="87"/>
      <c r="M570" s="87"/>
      <c r="N570" s="87"/>
      <c r="O570" s="87"/>
      <c r="P570" s="87"/>
      <c r="Q570" s="87"/>
      <c r="R570" s="87"/>
      <c r="S570" s="87"/>
      <c r="T570" s="87"/>
      <c r="U570" s="109">
        <v>0.34200000000000003</v>
      </c>
      <c r="V570" s="109">
        <v>0.34200000000000003</v>
      </c>
      <c r="W570" s="109">
        <v>0.34200000000000003</v>
      </c>
      <c r="X570" s="313">
        <f>W570</f>
        <v>0.34200000000000003</v>
      </c>
      <c r="Y570" s="313">
        <f>X570</f>
        <v>0.34200000000000003</v>
      </c>
      <c r="Z570" s="313">
        <f>Y570</f>
        <v>0.34200000000000003</v>
      </c>
      <c r="AA570" s="313">
        <f>Z570</f>
        <v>0.34200000000000003</v>
      </c>
      <c r="AB570" s="313">
        <f>AA570</f>
        <v>0.34200000000000003</v>
      </c>
      <c r="AC570" s="87"/>
      <c r="AD570" s="109" t="s">
        <v>1501</v>
      </c>
      <c r="AE570" s="87"/>
      <c r="AF570" s="109">
        <v>1</v>
      </c>
      <c r="AG570" s="109">
        <v>1</v>
      </c>
      <c r="AH570" s="84"/>
      <c r="AI570" s="66"/>
      <c r="AJ570" s="54"/>
      <c r="AK570" s="54"/>
      <c r="AL570" s="54"/>
    </row>
    <row r="571" spans="1:38" outlineLevel="2" x14ac:dyDescent="0.25">
      <c r="A571" s="54"/>
      <c r="B571" s="63"/>
      <c r="C571" s="56">
        <f t="shared" si="59"/>
        <v>3</v>
      </c>
      <c r="D571" s="84"/>
      <c r="E571" s="79"/>
      <c r="F571" s="79" t="s">
        <v>1502</v>
      </c>
      <c r="G571" s="84"/>
      <c r="H571" s="87" t="s">
        <v>1503</v>
      </c>
      <c r="I571" s="108" t="s">
        <v>623</v>
      </c>
      <c r="J571" s="108"/>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9">
        <v>1</v>
      </c>
      <c r="AG571" s="109">
        <v>1</v>
      </c>
      <c r="AH571" s="84"/>
      <c r="AI571" s="66"/>
      <c r="AJ571" s="54"/>
      <c r="AK571" s="54"/>
      <c r="AL571" s="54"/>
    </row>
    <row r="572" spans="1:38" outlineLevel="2" x14ac:dyDescent="0.25">
      <c r="A572" s="54"/>
      <c r="B572" s="63"/>
      <c r="C572" s="56">
        <f t="shared" si="59"/>
        <v>3</v>
      </c>
      <c r="D572" s="84"/>
      <c r="E572" s="79"/>
      <c r="F572" s="79" t="s">
        <v>1504</v>
      </c>
      <c r="G572" s="84"/>
      <c r="H572" s="87" t="s">
        <v>1505</v>
      </c>
      <c r="I572" s="108" t="s">
        <v>623</v>
      </c>
      <c r="J572" s="108"/>
      <c r="K572" s="87"/>
      <c r="L572" s="87"/>
      <c r="M572" s="87"/>
      <c r="N572" s="87"/>
      <c r="O572" s="87"/>
      <c r="P572" s="87"/>
      <c r="Q572" s="87"/>
      <c r="R572" s="87"/>
      <c r="S572" s="87"/>
      <c r="T572" s="87"/>
      <c r="U572" s="109">
        <v>0</v>
      </c>
      <c r="V572" s="109">
        <v>0</v>
      </c>
      <c r="W572" s="109">
        <v>0</v>
      </c>
      <c r="X572" s="313">
        <f t="shared" ref="X572:AB574" si="66">W572</f>
        <v>0</v>
      </c>
      <c r="Y572" s="313">
        <f t="shared" si="66"/>
        <v>0</v>
      </c>
      <c r="Z572" s="313">
        <f t="shared" si="66"/>
        <v>0</v>
      </c>
      <c r="AA572" s="313">
        <f t="shared" si="66"/>
        <v>0</v>
      </c>
      <c r="AB572" s="313">
        <f t="shared" si="66"/>
        <v>0</v>
      </c>
      <c r="AC572" s="87"/>
      <c r="AD572" s="87"/>
      <c r="AE572" s="87"/>
      <c r="AF572" s="109">
        <v>1</v>
      </c>
      <c r="AG572" s="109">
        <v>1</v>
      </c>
      <c r="AH572" s="84"/>
      <c r="AI572" s="66"/>
      <c r="AJ572" s="54"/>
      <c r="AK572" s="54"/>
      <c r="AL572" s="54"/>
    </row>
    <row r="573" spans="1:38" outlineLevel="2" x14ac:dyDescent="0.25">
      <c r="A573" s="54"/>
      <c r="B573" s="63"/>
      <c r="C573" s="56">
        <f t="shared" si="59"/>
        <v>3</v>
      </c>
      <c r="D573" s="84"/>
      <c r="E573" s="79"/>
      <c r="F573" s="79" t="s">
        <v>1506</v>
      </c>
      <c r="G573" s="84"/>
      <c r="H573" s="87" t="s">
        <v>1507</v>
      </c>
      <c r="I573" s="108" t="s">
        <v>623</v>
      </c>
      <c r="J573" s="108"/>
      <c r="K573" s="87"/>
      <c r="L573" s="87"/>
      <c r="M573" s="87"/>
      <c r="N573" s="87"/>
      <c r="O573" s="87"/>
      <c r="P573" s="87"/>
      <c r="Q573" s="87"/>
      <c r="R573" s="87"/>
      <c r="S573" s="87"/>
      <c r="T573" s="87"/>
      <c r="U573" s="109">
        <v>0</v>
      </c>
      <c r="V573" s="109">
        <v>0</v>
      </c>
      <c r="W573" s="109">
        <v>0</v>
      </c>
      <c r="X573" s="313">
        <f t="shared" si="66"/>
        <v>0</v>
      </c>
      <c r="Y573" s="313">
        <f t="shared" si="66"/>
        <v>0</v>
      </c>
      <c r="Z573" s="313">
        <f t="shared" si="66"/>
        <v>0</v>
      </c>
      <c r="AA573" s="313">
        <f t="shared" si="66"/>
        <v>0</v>
      </c>
      <c r="AB573" s="313">
        <f t="shared" si="66"/>
        <v>0</v>
      </c>
      <c r="AC573" s="87"/>
      <c r="AD573" s="87"/>
      <c r="AE573" s="87"/>
      <c r="AF573" s="109">
        <v>1</v>
      </c>
      <c r="AG573" s="109">
        <v>1</v>
      </c>
      <c r="AH573" s="84"/>
      <c r="AI573" s="66"/>
      <c r="AJ573" s="54"/>
      <c r="AK573" s="54"/>
      <c r="AL573" s="54"/>
    </row>
    <row r="574" spans="1:38" outlineLevel="2" x14ac:dyDescent="0.25">
      <c r="A574" s="54"/>
      <c r="B574" s="63"/>
      <c r="C574" s="56">
        <f t="shared" si="59"/>
        <v>3</v>
      </c>
      <c r="D574" s="84"/>
      <c r="E574" s="79"/>
      <c r="F574" s="79" t="s">
        <v>1508</v>
      </c>
      <c r="G574" s="84"/>
      <c r="H574" s="87" t="s">
        <v>1509</v>
      </c>
      <c r="I574" s="108" t="s">
        <v>623</v>
      </c>
      <c r="J574" s="108"/>
      <c r="K574" s="87"/>
      <c r="L574" s="87"/>
      <c r="M574" s="87"/>
      <c r="N574" s="87"/>
      <c r="O574" s="87"/>
      <c r="P574" s="87"/>
      <c r="Q574" s="87"/>
      <c r="R574" s="87"/>
      <c r="S574" s="87"/>
      <c r="T574" s="87"/>
      <c r="U574" s="109">
        <v>0</v>
      </c>
      <c r="V574" s="109">
        <v>0</v>
      </c>
      <c r="W574" s="109">
        <v>0</v>
      </c>
      <c r="X574" s="313">
        <f t="shared" si="66"/>
        <v>0</v>
      </c>
      <c r="Y574" s="313">
        <f t="shared" si="66"/>
        <v>0</v>
      </c>
      <c r="Z574" s="313">
        <f t="shared" si="66"/>
        <v>0</v>
      </c>
      <c r="AA574" s="313">
        <f t="shared" si="66"/>
        <v>0</v>
      </c>
      <c r="AB574" s="313">
        <f t="shared" si="66"/>
        <v>0</v>
      </c>
      <c r="AC574" s="87"/>
      <c r="AD574" s="87"/>
      <c r="AE574" s="87"/>
      <c r="AF574" s="109">
        <v>1</v>
      </c>
      <c r="AG574" s="109">
        <v>1</v>
      </c>
      <c r="AH574" s="84"/>
      <c r="AI574" s="66"/>
      <c r="AJ574" s="54"/>
      <c r="AK574" s="54"/>
      <c r="AL574" s="54"/>
    </row>
    <row r="575" spans="1:38" outlineLevel="2" x14ac:dyDescent="0.25">
      <c r="A575" s="54"/>
      <c r="B575" s="63"/>
      <c r="C575" s="56">
        <f t="shared" si="59"/>
        <v>3</v>
      </c>
      <c r="D575" s="84"/>
      <c r="E575" s="79"/>
      <c r="F575" s="79" t="s">
        <v>1510</v>
      </c>
      <c r="G575" s="84"/>
      <c r="H575" s="87" t="s">
        <v>727</v>
      </c>
      <c r="I575" s="108" t="s">
        <v>623</v>
      </c>
      <c r="J575" s="108"/>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25">
      <c r="A576" s="54"/>
      <c r="B576" s="63"/>
      <c r="C576" s="56">
        <f t="shared" si="59"/>
        <v>3</v>
      </c>
      <c r="D576" s="84"/>
      <c r="E576" s="79"/>
      <c r="F576" s="79" t="s">
        <v>1511</v>
      </c>
      <c r="G576" s="84"/>
      <c r="H576" s="87"/>
      <c r="I576" s="108" t="s">
        <v>623</v>
      </c>
      <c r="J576" s="108"/>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25">
      <c r="A577" s="54"/>
      <c r="B577" s="63"/>
      <c r="C577" s="56">
        <f t="shared" si="59"/>
        <v>3</v>
      </c>
      <c r="D577" s="84"/>
      <c r="E577" s="79"/>
      <c r="F577" s="79" t="s">
        <v>1512</v>
      </c>
      <c r="G577" s="84"/>
      <c r="H577" s="87"/>
      <c r="I577" s="108" t="s">
        <v>623</v>
      </c>
      <c r="J577" s="108"/>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25">
      <c r="A578" s="54"/>
      <c r="B578" s="63"/>
      <c r="C578" s="56">
        <f t="shared" si="59"/>
        <v>3</v>
      </c>
      <c r="D578" s="84"/>
      <c r="E578" s="79"/>
      <c r="F578" s="79" t="s">
        <v>1513</v>
      </c>
      <c r="G578" s="84"/>
      <c r="H578" s="87" t="s">
        <v>1514</v>
      </c>
      <c r="I578" s="108" t="s">
        <v>623</v>
      </c>
      <c r="J578" s="108"/>
      <c r="K578" s="87"/>
      <c r="L578" s="87"/>
      <c r="M578" s="87"/>
      <c r="N578" s="87"/>
      <c r="O578" s="87"/>
      <c r="P578" s="87"/>
      <c r="Q578" s="87"/>
      <c r="R578" s="87"/>
      <c r="S578" s="87"/>
      <c r="T578" s="87"/>
      <c r="U578" s="109">
        <v>0</v>
      </c>
      <c r="V578" s="109">
        <v>0</v>
      </c>
      <c r="W578" s="109">
        <v>0</v>
      </c>
      <c r="X578" s="109">
        <v>0</v>
      </c>
      <c r="Y578" s="109">
        <v>0</v>
      </c>
      <c r="Z578" s="109">
        <v>0</v>
      </c>
      <c r="AA578" s="109">
        <v>0</v>
      </c>
      <c r="AB578" s="109">
        <v>0</v>
      </c>
      <c r="AC578" s="87"/>
      <c r="AD578" s="109"/>
      <c r="AE578" s="87"/>
      <c r="AF578" s="109">
        <v>1</v>
      </c>
      <c r="AG578" s="109">
        <v>1</v>
      </c>
      <c r="AH578" s="84"/>
      <c r="AI578" s="66"/>
      <c r="AJ578" s="54"/>
      <c r="AK578" s="54"/>
      <c r="AL578" s="54"/>
    </row>
    <row r="579" spans="1:38" outlineLevel="2" x14ac:dyDescent="0.25">
      <c r="A579" s="54"/>
      <c r="B579" s="63"/>
      <c r="C579" s="56">
        <f t="shared" si="59"/>
        <v>3</v>
      </c>
      <c r="D579" s="84"/>
      <c r="E579" s="79"/>
      <c r="F579" s="79" t="s">
        <v>1515</v>
      </c>
      <c r="G579" s="84"/>
      <c r="H579" s="87" t="s">
        <v>1516</v>
      </c>
      <c r="I579" s="108" t="s">
        <v>623</v>
      </c>
      <c r="J579" s="108"/>
      <c r="K579" s="87"/>
      <c r="L579" s="87"/>
      <c r="M579" s="87"/>
      <c r="N579" s="87"/>
      <c r="O579" s="87"/>
      <c r="P579" s="87"/>
      <c r="Q579" s="87"/>
      <c r="R579" s="87"/>
      <c r="S579" s="87"/>
      <c r="T579" s="87"/>
      <c r="U579" s="136">
        <v>-0.01</v>
      </c>
      <c r="V579" s="136">
        <v>-0.01</v>
      </c>
      <c r="W579" s="136">
        <v>-0.01</v>
      </c>
      <c r="X579" s="136">
        <v>-0.01</v>
      </c>
      <c r="Y579" s="136">
        <v>-0.01</v>
      </c>
      <c r="Z579" s="136">
        <v>-0.01</v>
      </c>
      <c r="AA579" s="136">
        <v>-0.01</v>
      </c>
      <c r="AB579" s="136">
        <v>-0.01</v>
      </c>
      <c r="AC579" s="87"/>
      <c r="AD579" s="109" t="s">
        <v>1517</v>
      </c>
      <c r="AE579" s="87"/>
      <c r="AF579" s="109">
        <v>1</v>
      </c>
      <c r="AG579" s="109">
        <v>1</v>
      </c>
      <c r="AH579" s="84"/>
      <c r="AI579" s="66"/>
      <c r="AJ579" s="54"/>
      <c r="AK579" s="54"/>
      <c r="AL579" s="54"/>
    </row>
    <row r="580" spans="1:38" outlineLevel="2" x14ac:dyDescent="0.25">
      <c r="A580" s="54"/>
      <c r="B580" s="63"/>
      <c r="C580" s="56">
        <f t="shared" si="59"/>
        <v>3</v>
      </c>
      <c r="D580" s="84"/>
      <c r="E580" s="79"/>
      <c r="F580" s="79" t="s">
        <v>1518</v>
      </c>
      <c r="G580" s="84"/>
      <c r="H580" s="87" t="s">
        <v>1519</v>
      </c>
      <c r="I580" s="108" t="s">
        <v>623</v>
      </c>
      <c r="J580" s="108"/>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9">
        <v>1</v>
      </c>
      <c r="AG580" s="109">
        <v>1</v>
      </c>
      <c r="AH580" s="84"/>
      <c r="AI580" s="66"/>
      <c r="AJ580" s="54"/>
      <c r="AK580" s="54"/>
      <c r="AL580" s="54"/>
    </row>
    <row r="581" spans="1:38" outlineLevel="1" x14ac:dyDescent="0.25">
      <c r="A581" s="54"/>
      <c r="B581" s="63"/>
      <c r="C581" s="56">
        <f>INT($C$40)+1</f>
        <v>2</v>
      </c>
      <c r="D581" s="84"/>
      <c r="E581" s="79"/>
      <c r="F581" s="314" t="s">
        <v>1520</v>
      </c>
      <c r="G581" s="84"/>
      <c r="H581" s="304" t="s">
        <v>1521</v>
      </c>
      <c r="I581" s="149"/>
      <c r="J581" s="149" t="s">
        <v>1192</v>
      </c>
      <c r="K581" s="87"/>
      <c r="L581" s="87"/>
      <c r="M581" s="87"/>
      <c r="N581" s="87"/>
      <c r="O581" s="87"/>
      <c r="P581" s="87"/>
      <c r="Q581" s="87"/>
      <c r="R581" s="87"/>
      <c r="S581" s="87"/>
      <c r="T581" s="87"/>
      <c r="U581" s="91">
        <v>19</v>
      </c>
      <c r="V581" s="91">
        <v>6</v>
      </c>
      <c r="W581" s="91">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1522</v>
      </c>
      <c r="G582" s="84"/>
      <c r="H582" s="87" t="s">
        <v>727</v>
      </c>
      <c r="I582" s="108"/>
      <c r="J582" s="108"/>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1523</v>
      </c>
      <c r="G583" s="84"/>
      <c r="H583" s="87"/>
      <c r="I583" s="108"/>
      <c r="J583" s="108"/>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1524</v>
      </c>
      <c r="G584" s="84"/>
      <c r="H584" s="87"/>
      <c r="I584" s="108"/>
      <c r="J584" s="108"/>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1525</v>
      </c>
      <c r="G585" s="84"/>
      <c r="H585" s="87"/>
      <c r="I585" s="108"/>
      <c r="J585" s="108"/>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1526</v>
      </c>
      <c r="G586" s="84"/>
      <c r="H586" s="87"/>
      <c r="I586" s="108"/>
      <c r="J586" s="108"/>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1527</v>
      </c>
      <c r="G587" s="84"/>
      <c r="H587" s="87"/>
      <c r="I587" s="108"/>
      <c r="J587" s="108"/>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1528</v>
      </c>
      <c r="G588" s="84"/>
      <c r="H588" s="87" t="s">
        <v>727</v>
      </c>
      <c r="I588" s="108"/>
      <c r="J588" s="108"/>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1529</v>
      </c>
      <c r="G589" s="84"/>
      <c r="H589" s="87"/>
      <c r="I589" s="108"/>
      <c r="J589" s="108"/>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1530</v>
      </c>
      <c r="G590" s="84"/>
      <c r="H590" s="87"/>
      <c r="I590" s="108"/>
      <c r="J590" s="108"/>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1531</v>
      </c>
      <c r="G591" s="84"/>
      <c r="H591" s="87"/>
      <c r="I591" s="108"/>
      <c r="J591" s="108"/>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1532</v>
      </c>
      <c r="G592" s="84"/>
      <c r="H592" s="87"/>
      <c r="I592" s="108"/>
      <c r="J592" s="108"/>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1533</v>
      </c>
      <c r="G593" s="84"/>
      <c r="H593" s="87"/>
      <c r="I593" s="108"/>
      <c r="J593" s="108"/>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1534</v>
      </c>
      <c r="G594" s="84"/>
      <c r="H594" s="87" t="s">
        <v>727</v>
      </c>
      <c r="I594" s="108"/>
      <c r="J594" s="108"/>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1535</v>
      </c>
      <c r="G595" s="84"/>
      <c r="H595" s="87"/>
      <c r="I595" s="108"/>
      <c r="J595" s="108"/>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1536</v>
      </c>
      <c r="G596" s="84"/>
      <c r="H596" s="87"/>
      <c r="I596" s="108"/>
      <c r="J596" s="108"/>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1537</v>
      </c>
      <c r="G597" s="84"/>
      <c r="H597" s="87"/>
      <c r="I597" s="108"/>
      <c r="J597" s="108"/>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1538</v>
      </c>
      <c r="G598" s="84"/>
      <c r="H598" s="87"/>
      <c r="I598" s="108"/>
      <c r="J598" s="108"/>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1539</v>
      </c>
      <c r="G599" s="84"/>
      <c r="H599" s="87"/>
      <c r="I599" s="108"/>
      <c r="J599" s="108"/>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1540</v>
      </c>
      <c r="G600" s="84"/>
      <c r="H600" s="87" t="s">
        <v>727</v>
      </c>
      <c r="I600" s="108"/>
      <c r="J600" s="108"/>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1541</v>
      </c>
      <c r="G601" s="84"/>
      <c r="H601" s="87"/>
      <c r="I601" s="108"/>
      <c r="J601" s="108"/>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1542</v>
      </c>
      <c r="G602" s="84"/>
      <c r="H602" s="87"/>
      <c r="I602" s="108"/>
      <c r="J602" s="108"/>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1543</v>
      </c>
      <c r="G603" s="84"/>
      <c r="H603" s="87"/>
      <c r="I603" s="108"/>
      <c r="J603" s="108"/>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1544</v>
      </c>
      <c r="G604" s="84"/>
      <c r="H604" s="87"/>
      <c r="I604" s="108"/>
      <c r="J604" s="108"/>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1545</v>
      </c>
      <c r="G605" s="84"/>
      <c r="H605" s="87"/>
      <c r="I605" s="108"/>
      <c r="J605" s="108"/>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1546</v>
      </c>
      <c r="G606" s="84"/>
      <c r="H606" s="87" t="s">
        <v>727</v>
      </c>
      <c r="I606" s="108"/>
      <c r="J606" s="108"/>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1547</v>
      </c>
      <c r="G607" s="84"/>
      <c r="H607" s="87"/>
      <c r="I607" s="108"/>
      <c r="J607" s="108"/>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1548</v>
      </c>
      <c r="G608" s="84"/>
      <c r="H608" s="87"/>
      <c r="I608" s="108"/>
      <c r="J608" s="108"/>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1549</v>
      </c>
      <c r="G609" s="84"/>
      <c r="H609" s="87"/>
      <c r="I609" s="108"/>
      <c r="J609" s="108"/>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1550</v>
      </c>
      <c r="G610" s="84"/>
      <c r="H610" s="87"/>
      <c r="I610" s="108"/>
      <c r="J610" s="108"/>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1551</v>
      </c>
      <c r="G611" s="84"/>
      <c r="H611" s="87"/>
      <c r="I611" s="108"/>
      <c r="J611" s="108"/>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1552</v>
      </c>
      <c r="G612" s="84"/>
      <c r="H612" s="87" t="s">
        <v>727</v>
      </c>
      <c r="I612" s="108"/>
      <c r="J612" s="108"/>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1553</v>
      </c>
      <c r="G613" s="84"/>
      <c r="H613" s="87"/>
      <c r="I613" s="108"/>
      <c r="J613" s="108"/>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1554</v>
      </c>
      <c r="G614" s="84"/>
      <c r="H614" s="87"/>
      <c r="I614" s="108"/>
      <c r="J614" s="108"/>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1555</v>
      </c>
      <c r="G615" s="84"/>
      <c r="H615" s="87"/>
      <c r="I615" s="108"/>
      <c r="J615" s="108"/>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1556</v>
      </c>
      <c r="G616" s="84"/>
      <c r="H616" s="87"/>
      <c r="I616" s="108"/>
      <c r="J616" s="108"/>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1557</v>
      </c>
      <c r="G617" s="84"/>
      <c r="H617" s="87"/>
      <c r="I617" s="108"/>
      <c r="J617" s="108"/>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1558</v>
      </c>
      <c r="G618" s="84"/>
      <c r="H618" s="87" t="s">
        <v>727</v>
      </c>
      <c r="I618" s="108"/>
      <c r="J618" s="108"/>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1559</v>
      </c>
      <c r="G619" s="84"/>
      <c r="H619" s="87"/>
      <c r="I619" s="108"/>
      <c r="J619" s="108"/>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1560</v>
      </c>
      <c r="G620" s="84"/>
      <c r="H620" s="87"/>
      <c r="I620" s="108"/>
      <c r="J620" s="108"/>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1561</v>
      </c>
      <c r="G621" s="84"/>
      <c r="H621" s="87"/>
      <c r="I621" s="108"/>
      <c r="J621" s="108"/>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1562</v>
      </c>
      <c r="G622" s="84"/>
      <c r="H622" s="87"/>
      <c r="I622" s="108"/>
      <c r="J622" s="108"/>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1563</v>
      </c>
      <c r="G623" s="84"/>
      <c r="H623" s="87"/>
      <c r="I623" s="108"/>
      <c r="J623" s="108"/>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1564</v>
      </c>
      <c r="G624" s="84"/>
      <c r="H624" s="87" t="s">
        <v>727</v>
      </c>
      <c r="I624" s="108"/>
      <c r="J624" s="108"/>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1565</v>
      </c>
      <c r="G625" s="84"/>
      <c r="H625" s="87"/>
      <c r="I625" s="108"/>
      <c r="J625" s="108"/>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1566</v>
      </c>
      <c r="G626" s="84"/>
      <c r="H626" s="87"/>
      <c r="I626" s="108"/>
      <c r="J626" s="108"/>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1567</v>
      </c>
      <c r="G627" s="84"/>
      <c r="H627" s="87"/>
      <c r="I627" s="108"/>
      <c r="J627" s="108"/>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1568</v>
      </c>
      <c r="G628" s="84"/>
      <c r="H628" s="87"/>
      <c r="I628" s="108"/>
      <c r="J628" s="108"/>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1569</v>
      </c>
      <c r="G629" s="84"/>
      <c r="H629" s="87"/>
      <c r="I629" s="108"/>
      <c r="J629" s="108"/>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25">
      <c r="A630" s="54"/>
      <c r="B630" s="63"/>
      <c r="C630" s="56">
        <f t="shared" ref="C630:C635" si="68">INT($C$40)+2</f>
        <v>3</v>
      </c>
      <c r="D630" s="84"/>
      <c r="E630" s="79"/>
      <c r="F630" s="79" t="s">
        <v>1570</v>
      </c>
      <c r="G630" s="84"/>
      <c r="H630" s="87" t="s">
        <v>1571</v>
      </c>
      <c r="I630" s="108"/>
      <c r="J630" s="108"/>
      <c r="K630" s="87"/>
      <c r="L630" s="87"/>
      <c r="M630" s="87"/>
      <c r="N630" s="87"/>
      <c r="O630" s="87"/>
      <c r="P630" s="87"/>
      <c r="Q630" s="87"/>
      <c r="R630" s="87"/>
      <c r="S630" s="87"/>
      <c r="T630" s="87"/>
      <c r="U630" s="323">
        <f>U$730</f>
        <v>0</v>
      </c>
      <c r="V630" s="323">
        <f t="shared" ref="V630:AB630" si="69">V$730</f>
        <v>0</v>
      </c>
      <c r="W630" s="323">
        <f t="shared" si="69"/>
        <v>0</v>
      </c>
      <c r="X630" s="323">
        <f t="shared" si="69"/>
        <v>0</v>
      </c>
      <c r="Y630" s="323">
        <f t="shared" si="69"/>
        <v>0</v>
      </c>
      <c r="Z630" s="323">
        <f t="shared" si="69"/>
        <v>0</v>
      </c>
      <c r="AA630" s="323">
        <f t="shared" si="69"/>
        <v>0</v>
      </c>
      <c r="AB630" s="323">
        <f t="shared" si="69"/>
        <v>0</v>
      </c>
      <c r="AC630" s="87"/>
      <c r="AD630" s="109" t="s">
        <v>1572</v>
      </c>
      <c r="AE630" s="87"/>
      <c r="AF630" s="323">
        <f>AF$730</f>
        <v>1</v>
      </c>
      <c r="AG630" s="323">
        <f>AG$730</f>
        <v>1</v>
      </c>
      <c r="AH630" s="84"/>
      <c r="AI630" s="66"/>
      <c r="AJ630" s="54"/>
      <c r="AK630" s="54"/>
      <c r="AL630" s="54"/>
    </row>
    <row r="631" spans="1:38" outlineLevel="2" x14ac:dyDescent="0.25">
      <c r="A631" s="54"/>
      <c r="B631" s="63"/>
      <c r="C631" s="56">
        <f t="shared" si="68"/>
        <v>3</v>
      </c>
      <c r="D631" s="84"/>
      <c r="E631" s="79"/>
      <c r="F631" s="79" t="s">
        <v>1573</v>
      </c>
      <c r="G631" s="84"/>
      <c r="H631" s="87" t="s">
        <v>1574</v>
      </c>
      <c r="I631" s="108"/>
      <c r="J631" s="108"/>
      <c r="K631" s="87"/>
      <c r="L631" s="87"/>
      <c r="M631" s="87"/>
      <c r="N631" s="87"/>
      <c r="O631" s="87"/>
      <c r="P631" s="87"/>
      <c r="Q631" s="87"/>
      <c r="R631" s="87"/>
      <c r="S631" s="87"/>
      <c r="T631" s="87"/>
      <c r="U631" s="323">
        <f>U$731</f>
        <v>-0.48270000000000002</v>
      </c>
      <c r="V631" s="323">
        <f t="shared" ref="V631:AB631" si="70">V$731</f>
        <v>-0.48270000000000002</v>
      </c>
      <c r="W631" s="323">
        <f t="shared" si="70"/>
        <v>-0.48270000000000002</v>
      </c>
      <c r="X631" s="323">
        <f t="shared" si="70"/>
        <v>-0.48270000000000002</v>
      </c>
      <c r="Y631" s="323">
        <f t="shared" si="70"/>
        <v>-0.48270000000000002</v>
      </c>
      <c r="Z631" s="323">
        <f t="shared" si="70"/>
        <v>-0.48270000000000002</v>
      </c>
      <c r="AA631" s="323">
        <f t="shared" si="70"/>
        <v>-0.48270000000000002</v>
      </c>
      <c r="AB631" s="323">
        <f t="shared" si="70"/>
        <v>-0.48270000000000002</v>
      </c>
      <c r="AC631" s="87"/>
      <c r="AD631" s="87"/>
      <c r="AE631" s="87"/>
      <c r="AF631" s="323">
        <f>AF$731</f>
        <v>1</v>
      </c>
      <c r="AG631" s="323">
        <f>AG$731</f>
        <v>1</v>
      </c>
      <c r="AH631" s="84"/>
      <c r="AI631" s="66"/>
      <c r="AJ631" s="54"/>
      <c r="AK631" s="54"/>
      <c r="AL631" s="54"/>
    </row>
    <row r="632" spans="1:38" outlineLevel="2" x14ac:dyDescent="0.25">
      <c r="A632" s="54"/>
      <c r="B632" s="63"/>
      <c r="C632" s="56">
        <f t="shared" si="68"/>
        <v>3</v>
      </c>
      <c r="D632" s="84"/>
      <c r="E632" s="79"/>
      <c r="F632" s="79" t="s">
        <v>1575</v>
      </c>
      <c r="G632" s="84"/>
      <c r="H632" s="87" t="s">
        <v>1576</v>
      </c>
      <c r="I632" s="108"/>
      <c r="J632" s="108"/>
      <c r="K632" s="87"/>
      <c r="L632" s="87"/>
      <c r="M632" s="87"/>
      <c r="N632" s="87"/>
      <c r="O632" s="87"/>
      <c r="P632" s="87"/>
      <c r="Q632" s="87"/>
      <c r="R632" s="87"/>
      <c r="S632" s="87"/>
      <c r="T632" s="87"/>
      <c r="U632" s="323">
        <f>U$732</f>
        <v>-0.48270000000000002</v>
      </c>
      <c r="V632" s="323">
        <f t="shared" ref="V632:AB632" si="71">V$732</f>
        <v>-0.48270000000000002</v>
      </c>
      <c r="W632" s="323">
        <f t="shared" si="71"/>
        <v>-0.48270000000000002</v>
      </c>
      <c r="X632" s="323">
        <f t="shared" si="71"/>
        <v>-0.48270000000000002</v>
      </c>
      <c r="Y632" s="323">
        <f t="shared" si="71"/>
        <v>-0.48270000000000002</v>
      </c>
      <c r="Z632" s="323">
        <f t="shared" si="71"/>
        <v>-0.48270000000000002</v>
      </c>
      <c r="AA632" s="323">
        <f t="shared" si="71"/>
        <v>-0.48270000000000002</v>
      </c>
      <c r="AB632" s="323">
        <f t="shared" si="71"/>
        <v>-0.48270000000000002</v>
      </c>
      <c r="AC632" s="87"/>
      <c r="AD632" s="87"/>
      <c r="AE632" s="87"/>
      <c r="AF632" s="323">
        <f>AF$732</f>
        <v>1</v>
      </c>
      <c r="AG632" s="323">
        <f>AG$732</f>
        <v>1</v>
      </c>
      <c r="AH632" s="84"/>
      <c r="AI632" s="66"/>
      <c r="AJ632" s="54"/>
      <c r="AK632" s="54"/>
      <c r="AL632" s="54"/>
    </row>
    <row r="633" spans="1:38" outlineLevel="2" x14ac:dyDescent="0.25">
      <c r="A633" s="54"/>
      <c r="B633" s="63"/>
      <c r="C633" s="56">
        <f t="shared" si="68"/>
        <v>3</v>
      </c>
      <c r="D633" s="84"/>
      <c r="E633" s="79"/>
      <c r="F633" s="79" t="s">
        <v>1577</v>
      </c>
      <c r="G633" s="84"/>
      <c r="H633" s="87" t="s">
        <v>1578</v>
      </c>
      <c r="I633" s="108"/>
      <c r="J633" s="108"/>
      <c r="K633" s="87"/>
      <c r="L633" s="87"/>
      <c r="M633" s="87"/>
      <c r="N633" s="87"/>
      <c r="O633" s="87"/>
      <c r="P633" s="87"/>
      <c r="Q633" s="87"/>
      <c r="R633" s="87"/>
      <c r="S633" s="87"/>
      <c r="T633" s="87"/>
      <c r="U633" s="323">
        <f>$731:$731</f>
        <v>-0.48270000000000002</v>
      </c>
      <c r="V633" s="323">
        <f t="shared" ref="V633:AB633" si="72">$731:$731</f>
        <v>-0.48270000000000002</v>
      </c>
      <c r="W633" s="323">
        <f t="shared" si="72"/>
        <v>-0.48270000000000002</v>
      </c>
      <c r="X633" s="323">
        <f t="shared" si="72"/>
        <v>-0.48270000000000002</v>
      </c>
      <c r="Y633" s="323">
        <f t="shared" si="72"/>
        <v>-0.48270000000000002</v>
      </c>
      <c r="Z633" s="323">
        <f t="shared" si="72"/>
        <v>-0.48270000000000002</v>
      </c>
      <c r="AA633" s="323">
        <f t="shared" si="72"/>
        <v>-0.48270000000000002</v>
      </c>
      <c r="AB633" s="323">
        <f t="shared" si="72"/>
        <v>-0.48270000000000002</v>
      </c>
      <c r="AC633" s="87"/>
      <c r="AD633" s="87"/>
      <c r="AE633" s="87"/>
      <c r="AF633" s="323">
        <f>$731:$731</f>
        <v>1</v>
      </c>
      <c r="AG633" s="323">
        <f>$731:$731</f>
        <v>1</v>
      </c>
      <c r="AH633" s="84"/>
      <c r="AI633" s="66"/>
      <c r="AJ633" s="54"/>
      <c r="AK633" s="54"/>
      <c r="AL633" s="54"/>
    </row>
    <row r="634" spans="1:38" outlineLevel="2" x14ac:dyDescent="0.25">
      <c r="A634" s="54">
        <v>4</v>
      </c>
      <c r="B634" s="63"/>
      <c r="C634" s="56">
        <f t="shared" si="68"/>
        <v>3</v>
      </c>
      <c r="D634" s="84"/>
      <c r="E634" s="79"/>
      <c r="F634" s="79" t="s">
        <v>1579</v>
      </c>
      <c r="G634" s="84"/>
      <c r="H634" s="87" t="s">
        <v>1580</v>
      </c>
      <c r="I634" s="108"/>
      <c r="J634" s="108"/>
      <c r="K634" s="87"/>
      <c r="L634" s="87"/>
      <c r="M634" s="87"/>
      <c r="N634" s="87"/>
      <c r="O634" s="87"/>
      <c r="P634" s="87"/>
      <c r="Q634" s="87"/>
      <c r="R634" s="87"/>
      <c r="S634" s="87"/>
      <c r="T634" s="87"/>
      <c r="U634" s="323">
        <f>$732:$732</f>
        <v>-0.48270000000000002</v>
      </c>
      <c r="V634" s="323">
        <f t="shared" ref="V634:AB635" si="73">$732:$732</f>
        <v>-0.48270000000000002</v>
      </c>
      <c r="W634" s="323">
        <f t="shared" si="73"/>
        <v>-0.48270000000000002</v>
      </c>
      <c r="X634" s="323">
        <f t="shared" si="73"/>
        <v>-0.48270000000000002</v>
      </c>
      <c r="Y634" s="323">
        <f t="shared" si="73"/>
        <v>-0.48270000000000002</v>
      </c>
      <c r="Z634" s="323">
        <f t="shared" si="73"/>
        <v>-0.48270000000000002</v>
      </c>
      <c r="AA634" s="323">
        <f t="shared" si="73"/>
        <v>-0.48270000000000002</v>
      </c>
      <c r="AB634" s="323">
        <f t="shared" si="73"/>
        <v>-0.48270000000000002</v>
      </c>
      <c r="AC634" s="87"/>
      <c r="AD634" s="87"/>
      <c r="AE634" s="87"/>
      <c r="AF634" s="323">
        <f>$732:$732</f>
        <v>1</v>
      </c>
      <c r="AG634" s="323">
        <f>$732:$732</f>
        <v>1</v>
      </c>
      <c r="AH634" s="84"/>
      <c r="AI634" s="66"/>
      <c r="AJ634" s="54"/>
      <c r="AK634" s="54"/>
      <c r="AL634" s="54"/>
    </row>
    <row r="635" spans="1:38" outlineLevel="2" collapsed="1" x14ac:dyDescent="0.25">
      <c r="A635" s="54">
        <f>A634</f>
        <v>4</v>
      </c>
      <c r="B635" s="63"/>
      <c r="C635" s="56">
        <f t="shared" si="68"/>
        <v>3</v>
      </c>
      <c r="D635" s="84"/>
      <c r="E635" s="79"/>
      <c r="F635" s="79" t="s">
        <v>1581</v>
      </c>
      <c r="G635" s="84"/>
      <c r="H635" s="87" t="s">
        <v>1582</v>
      </c>
      <c r="I635" s="108"/>
      <c r="J635" s="108"/>
      <c r="K635" s="87"/>
      <c r="L635" s="87"/>
      <c r="M635" s="87"/>
      <c r="N635" s="87"/>
      <c r="O635" s="87"/>
      <c r="P635" s="87"/>
      <c r="Q635" s="87"/>
      <c r="R635" s="87"/>
      <c r="S635" s="87"/>
      <c r="T635" s="87"/>
      <c r="U635" s="323">
        <f>$732:$732</f>
        <v>-0.48270000000000002</v>
      </c>
      <c r="V635" s="323">
        <f t="shared" si="73"/>
        <v>-0.48270000000000002</v>
      </c>
      <c r="W635" s="323">
        <f t="shared" si="73"/>
        <v>-0.48270000000000002</v>
      </c>
      <c r="X635" s="323">
        <f t="shared" si="73"/>
        <v>-0.48270000000000002</v>
      </c>
      <c r="Y635" s="323">
        <f t="shared" si="73"/>
        <v>-0.48270000000000002</v>
      </c>
      <c r="Z635" s="323">
        <f t="shared" si="73"/>
        <v>-0.48270000000000002</v>
      </c>
      <c r="AA635" s="323">
        <f t="shared" si="73"/>
        <v>-0.48270000000000002</v>
      </c>
      <c r="AB635" s="323">
        <f t="shared" si="73"/>
        <v>-0.48270000000000002</v>
      </c>
      <c r="AC635" s="87"/>
      <c r="AD635" s="87"/>
      <c r="AE635" s="87"/>
      <c r="AF635" s="323">
        <f>$732:$732</f>
        <v>1</v>
      </c>
      <c r="AG635" s="323">
        <f>$732:$732</f>
        <v>1</v>
      </c>
      <c r="AH635" s="84"/>
      <c r="AI635" s="66"/>
      <c r="AJ635" s="54"/>
      <c r="AK635" s="54"/>
      <c r="AL635" s="54"/>
    </row>
    <row r="636" spans="1:38" hidden="1" outlineLevel="3" x14ac:dyDescent="0.25">
      <c r="A636" s="54"/>
      <c r="B636" s="63"/>
      <c r="C636" s="56">
        <f t="shared" si="67"/>
        <v>4</v>
      </c>
      <c r="D636" s="84"/>
      <c r="E636" s="79"/>
      <c r="F636" s="79" t="s">
        <v>1583</v>
      </c>
      <c r="G636" s="84"/>
      <c r="H636" s="87" t="s">
        <v>727</v>
      </c>
      <c r="I636" s="108"/>
      <c r="J636" s="108"/>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1584</v>
      </c>
      <c r="G637" s="84"/>
      <c r="H637" s="87"/>
      <c r="I637" s="108"/>
      <c r="J637" s="108"/>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1585</v>
      </c>
      <c r="G638" s="84"/>
      <c r="H638" s="87"/>
      <c r="I638" s="108"/>
      <c r="J638" s="108"/>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1586</v>
      </c>
      <c r="G639" s="84"/>
      <c r="H639" s="87"/>
      <c r="I639" s="108"/>
      <c r="J639" s="108"/>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1587</v>
      </c>
      <c r="G640" s="84"/>
      <c r="H640" s="87"/>
      <c r="I640" s="108"/>
      <c r="J640" s="108"/>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1588</v>
      </c>
      <c r="G641" s="84"/>
      <c r="H641" s="87"/>
      <c r="I641" s="108"/>
      <c r="J641" s="108"/>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1589</v>
      </c>
      <c r="G642" s="84"/>
      <c r="H642" s="87" t="s">
        <v>727</v>
      </c>
      <c r="I642" s="108"/>
      <c r="J642" s="108"/>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1590</v>
      </c>
      <c r="G643" s="84"/>
      <c r="H643" s="87"/>
      <c r="I643" s="108"/>
      <c r="J643" s="108"/>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1591</v>
      </c>
      <c r="G644" s="84"/>
      <c r="H644" s="87"/>
      <c r="I644" s="108"/>
      <c r="J644" s="108"/>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1592</v>
      </c>
      <c r="G645" s="84"/>
      <c r="H645" s="87"/>
      <c r="I645" s="108"/>
      <c r="J645" s="108"/>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1593</v>
      </c>
      <c r="G646" s="84"/>
      <c r="H646" s="87"/>
      <c r="I646" s="108"/>
      <c r="J646" s="108"/>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1594</v>
      </c>
      <c r="G647" s="84"/>
      <c r="H647" s="87"/>
      <c r="I647" s="108"/>
      <c r="J647" s="108"/>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1595</v>
      </c>
      <c r="G648" s="84"/>
      <c r="H648" s="87" t="s">
        <v>727</v>
      </c>
      <c r="I648" s="108"/>
      <c r="J648" s="108"/>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1596</v>
      </c>
      <c r="G649" s="84"/>
      <c r="H649" s="87"/>
      <c r="I649" s="108"/>
      <c r="J649" s="108"/>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1597</v>
      </c>
      <c r="G650" s="84"/>
      <c r="H650" s="87"/>
      <c r="I650" s="108"/>
      <c r="J650" s="108"/>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1598</v>
      </c>
      <c r="G651" s="84"/>
      <c r="H651" s="87"/>
      <c r="I651" s="108"/>
      <c r="J651" s="108"/>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1599</v>
      </c>
      <c r="G652" s="84"/>
      <c r="H652" s="87"/>
      <c r="I652" s="108"/>
      <c r="J652" s="108"/>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1600</v>
      </c>
      <c r="G653" s="84"/>
      <c r="H653" s="87"/>
      <c r="I653" s="108"/>
      <c r="J653" s="108"/>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25">
      <c r="A654" s="54"/>
      <c r="B654" s="63"/>
      <c r="C654" s="56">
        <f t="shared" ref="C654:C665" si="75">INT($C$40)+2</f>
        <v>3</v>
      </c>
      <c r="D654" s="84"/>
      <c r="E654" s="79"/>
      <c r="F654" s="79" t="s">
        <v>1601</v>
      </c>
      <c r="G654" s="84"/>
      <c r="H654" s="87" t="s">
        <v>1602</v>
      </c>
      <c r="I654" s="108" t="s">
        <v>820</v>
      </c>
      <c r="J654" s="108" t="s">
        <v>1292</v>
      </c>
      <c r="K654" s="87"/>
      <c r="L654" s="87"/>
      <c r="M654" s="87"/>
      <c r="N654" s="87"/>
      <c r="O654" s="87"/>
      <c r="P654" s="87"/>
      <c r="Q654" s="87"/>
      <c r="R654" s="87"/>
      <c r="S654" s="87"/>
      <c r="T654" s="87"/>
      <c r="U654" s="109">
        <v>0</v>
      </c>
      <c r="V654" s="109">
        <v>0</v>
      </c>
      <c r="W654" s="109">
        <v>0</v>
      </c>
      <c r="X654" s="313">
        <f t="shared" ref="X654:AB665" si="76">W654</f>
        <v>0</v>
      </c>
      <c r="Y654" s="313">
        <f t="shared" si="76"/>
        <v>0</v>
      </c>
      <c r="Z654" s="313">
        <f t="shared" si="76"/>
        <v>0</v>
      </c>
      <c r="AA654" s="313">
        <f t="shared" si="76"/>
        <v>0</v>
      </c>
      <c r="AB654" s="313">
        <f t="shared" si="76"/>
        <v>0</v>
      </c>
      <c r="AC654" s="87"/>
      <c r="AD654" s="109" t="s">
        <v>1603</v>
      </c>
      <c r="AE654" s="87"/>
      <c r="AF654" s="109">
        <v>1</v>
      </c>
      <c r="AG654" s="109">
        <v>1</v>
      </c>
      <c r="AH654" s="84"/>
      <c r="AI654" s="66"/>
      <c r="AJ654" s="54"/>
      <c r="AK654" s="54"/>
      <c r="AL654" s="54"/>
    </row>
    <row r="655" spans="1:38" outlineLevel="2" x14ac:dyDescent="0.25">
      <c r="A655" s="54"/>
      <c r="B655" s="63"/>
      <c r="C655" s="56">
        <f t="shared" si="75"/>
        <v>3</v>
      </c>
      <c r="D655" s="84"/>
      <c r="E655" s="79"/>
      <c r="F655" s="79" t="s">
        <v>1604</v>
      </c>
      <c r="G655" s="84"/>
      <c r="H655" s="87" t="s">
        <v>1605</v>
      </c>
      <c r="I655" s="108" t="s">
        <v>820</v>
      </c>
      <c r="J655" s="108" t="s">
        <v>1292</v>
      </c>
      <c r="K655" s="87"/>
      <c r="L655" s="87"/>
      <c r="M655" s="87"/>
      <c r="N655" s="87"/>
      <c r="O655" s="87"/>
      <c r="P655" s="87"/>
      <c r="Q655" s="87"/>
      <c r="R655" s="87"/>
      <c r="S655" s="87"/>
      <c r="T655" s="87"/>
      <c r="U655" s="109">
        <v>-0.26400000000000001</v>
      </c>
      <c r="V655" s="109">
        <v>-0.26400000000000001</v>
      </c>
      <c r="W655" s="109">
        <v>-0.26400000000000001</v>
      </c>
      <c r="X655" s="313">
        <f t="shared" si="76"/>
        <v>-0.26400000000000001</v>
      </c>
      <c r="Y655" s="313">
        <f t="shared" si="76"/>
        <v>-0.26400000000000001</v>
      </c>
      <c r="Z655" s="313">
        <f t="shared" si="76"/>
        <v>-0.26400000000000001</v>
      </c>
      <c r="AA655" s="313">
        <f t="shared" si="76"/>
        <v>-0.26400000000000001</v>
      </c>
      <c r="AB655" s="313">
        <f t="shared" si="76"/>
        <v>-0.26400000000000001</v>
      </c>
      <c r="AC655" s="87"/>
      <c r="AD655" s="109" t="s">
        <v>1606</v>
      </c>
      <c r="AE655" s="87"/>
      <c r="AF655" s="109">
        <v>1</v>
      </c>
      <c r="AG655" s="109">
        <v>1</v>
      </c>
      <c r="AH655" s="84"/>
      <c r="AI655" s="66"/>
      <c r="AJ655" s="54"/>
      <c r="AK655" s="54"/>
      <c r="AL655" s="54"/>
    </row>
    <row r="656" spans="1:38" outlineLevel="2" x14ac:dyDescent="0.25">
      <c r="A656" s="54"/>
      <c r="B656" s="63"/>
      <c r="C656" s="56">
        <f t="shared" si="75"/>
        <v>3</v>
      </c>
      <c r="D656" s="84"/>
      <c r="E656" s="79"/>
      <c r="F656" s="79" t="s">
        <v>1607</v>
      </c>
      <c r="G656" s="84"/>
      <c r="H656" s="87" t="s">
        <v>1608</v>
      </c>
      <c r="I656" s="108" t="s">
        <v>820</v>
      </c>
      <c r="J656" s="108" t="s">
        <v>1292</v>
      </c>
      <c r="K656" s="87"/>
      <c r="L656" s="87"/>
      <c r="M656" s="87"/>
      <c r="N656" s="87"/>
      <c r="O656" s="87"/>
      <c r="P656" s="87"/>
      <c r="Q656" s="87"/>
      <c r="R656" s="87"/>
      <c r="S656" s="87"/>
      <c r="T656" s="87"/>
      <c r="U656" s="109">
        <v>-0.4</v>
      </c>
      <c r="V656" s="109">
        <v>-0.4</v>
      </c>
      <c r="W656" s="109">
        <v>-0.4</v>
      </c>
      <c r="X656" s="313">
        <f t="shared" si="76"/>
        <v>-0.4</v>
      </c>
      <c r="Y656" s="313">
        <f t="shared" si="76"/>
        <v>-0.4</v>
      </c>
      <c r="Z656" s="313">
        <f t="shared" si="76"/>
        <v>-0.4</v>
      </c>
      <c r="AA656" s="313">
        <f t="shared" si="76"/>
        <v>-0.4</v>
      </c>
      <c r="AB656" s="313">
        <f t="shared" si="76"/>
        <v>-0.4</v>
      </c>
      <c r="AC656" s="87"/>
      <c r="AD656" s="325" t="s">
        <v>1609</v>
      </c>
      <c r="AE656" s="87"/>
      <c r="AF656" s="109">
        <v>1</v>
      </c>
      <c r="AG656" s="109">
        <v>1</v>
      </c>
      <c r="AH656" s="84"/>
      <c r="AI656" s="66"/>
      <c r="AJ656" s="54"/>
      <c r="AK656" s="54"/>
      <c r="AL656" s="54"/>
    </row>
    <row r="657" spans="1:38" outlineLevel="2" x14ac:dyDescent="0.25">
      <c r="A657" s="54"/>
      <c r="B657" s="63"/>
      <c r="C657" s="56">
        <f t="shared" si="75"/>
        <v>3</v>
      </c>
      <c r="D657" s="84"/>
      <c r="E657" s="79"/>
      <c r="F657" s="79" t="s">
        <v>1610</v>
      </c>
      <c r="G657" s="84"/>
      <c r="H657" s="87" t="s">
        <v>1611</v>
      </c>
      <c r="I657" s="108" t="s">
        <v>820</v>
      </c>
      <c r="J657" s="108" t="s">
        <v>1292</v>
      </c>
      <c r="K657" s="87"/>
      <c r="L657" s="87"/>
      <c r="M657" s="87"/>
      <c r="N657" s="87"/>
      <c r="O657" s="87"/>
      <c r="P657" s="87"/>
      <c r="Q657" s="87"/>
      <c r="R657" s="87"/>
      <c r="S657" s="87"/>
      <c r="T657" s="87"/>
      <c r="U657" s="109">
        <v>-0.17799999999999999</v>
      </c>
      <c r="V657" s="109">
        <v>-0.17799999999999999</v>
      </c>
      <c r="W657" s="109">
        <v>-0.17799999999999999</v>
      </c>
      <c r="X657" s="313">
        <f t="shared" si="76"/>
        <v>-0.17799999999999999</v>
      </c>
      <c r="Y657" s="313">
        <f t="shared" si="76"/>
        <v>-0.17799999999999999</v>
      </c>
      <c r="Z657" s="313">
        <f t="shared" si="76"/>
        <v>-0.17799999999999999</v>
      </c>
      <c r="AA657" s="313">
        <f t="shared" si="76"/>
        <v>-0.17799999999999999</v>
      </c>
      <c r="AB657" s="313">
        <f t="shared" si="76"/>
        <v>-0.17799999999999999</v>
      </c>
      <c r="AC657" s="87"/>
      <c r="AD657" s="109" t="s">
        <v>1612</v>
      </c>
      <c r="AE657" s="87"/>
      <c r="AF657" s="109">
        <v>1</v>
      </c>
      <c r="AG657" s="109">
        <v>1</v>
      </c>
      <c r="AH657" s="84"/>
      <c r="AI657" s="66"/>
      <c r="AJ657" s="54"/>
      <c r="AK657" s="54"/>
      <c r="AL657" s="54"/>
    </row>
    <row r="658" spans="1:38" outlineLevel="2" x14ac:dyDescent="0.25">
      <c r="A658" s="54">
        <v>4</v>
      </c>
      <c r="B658" s="63"/>
      <c r="C658" s="56">
        <f t="shared" si="75"/>
        <v>3</v>
      </c>
      <c r="D658" s="84"/>
      <c r="E658" s="79"/>
      <c r="F658" s="79" t="s">
        <v>1613</v>
      </c>
      <c r="G658" s="84"/>
      <c r="H658" s="87" t="s">
        <v>1614</v>
      </c>
      <c r="I658" s="108" t="s">
        <v>820</v>
      </c>
      <c r="J658" s="108" t="s">
        <v>1292</v>
      </c>
      <c r="K658" s="87"/>
      <c r="L658" s="87"/>
      <c r="M658" s="87"/>
      <c r="N658" s="87"/>
      <c r="O658" s="87"/>
      <c r="P658" s="87"/>
      <c r="Q658" s="87"/>
      <c r="R658" s="87"/>
      <c r="S658" s="87"/>
      <c r="T658" s="87"/>
      <c r="U658" s="109">
        <v>-0.26400000000000001</v>
      </c>
      <c r="V658" s="109">
        <v>-0.26400000000000001</v>
      </c>
      <c r="W658" s="109">
        <v>-0.26400000000000001</v>
      </c>
      <c r="X658" s="313">
        <f t="shared" si="76"/>
        <v>-0.26400000000000001</v>
      </c>
      <c r="Y658" s="313">
        <f t="shared" si="76"/>
        <v>-0.26400000000000001</v>
      </c>
      <c r="Z658" s="313">
        <f t="shared" si="76"/>
        <v>-0.26400000000000001</v>
      </c>
      <c r="AA658" s="313">
        <f t="shared" si="76"/>
        <v>-0.26400000000000001</v>
      </c>
      <c r="AB658" s="313">
        <f t="shared" si="76"/>
        <v>-0.26400000000000001</v>
      </c>
      <c r="AC658" s="87"/>
      <c r="AD658" s="109"/>
      <c r="AE658" s="87"/>
      <c r="AF658" s="109">
        <v>1</v>
      </c>
      <c r="AG658" s="109">
        <v>1</v>
      </c>
      <c r="AH658" s="84"/>
      <c r="AI658" s="66"/>
      <c r="AJ658" s="54"/>
      <c r="AK658" s="54"/>
      <c r="AL658" s="54"/>
    </row>
    <row r="659" spans="1:38" outlineLevel="2" x14ac:dyDescent="0.25">
      <c r="A659" s="54">
        <f>A658</f>
        <v>4</v>
      </c>
      <c r="B659" s="63"/>
      <c r="C659" s="56">
        <f t="shared" si="75"/>
        <v>3</v>
      </c>
      <c r="D659" s="84"/>
      <c r="E659" s="79"/>
      <c r="F659" s="79" t="s">
        <v>1615</v>
      </c>
      <c r="G659" s="84"/>
      <c r="H659" s="87" t="s">
        <v>1616</v>
      </c>
      <c r="I659" s="108" t="s">
        <v>820</v>
      </c>
      <c r="J659" s="108" t="s">
        <v>1292</v>
      </c>
      <c r="K659" s="87"/>
      <c r="L659" s="87"/>
      <c r="M659" s="87"/>
      <c r="N659" s="87"/>
      <c r="O659" s="87"/>
      <c r="P659" s="87"/>
      <c r="Q659" s="87"/>
      <c r="R659" s="87"/>
      <c r="S659" s="87"/>
      <c r="T659" s="87"/>
      <c r="U659" s="109">
        <v>-0.17799999999999999</v>
      </c>
      <c r="V659" s="109">
        <v>-0.17799999999999999</v>
      </c>
      <c r="W659" s="109">
        <v>-0.17799999999999999</v>
      </c>
      <c r="X659" s="313">
        <f t="shared" si="76"/>
        <v>-0.17799999999999999</v>
      </c>
      <c r="Y659" s="313">
        <f t="shared" si="76"/>
        <v>-0.17799999999999999</v>
      </c>
      <c r="Z659" s="313">
        <f t="shared" si="76"/>
        <v>-0.17799999999999999</v>
      </c>
      <c r="AA659" s="313">
        <f t="shared" si="76"/>
        <v>-0.17799999999999999</v>
      </c>
      <c r="AB659" s="313">
        <f t="shared" si="76"/>
        <v>-0.17799999999999999</v>
      </c>
      <c r="AC659" s="87"/>
      <c r="AD659" s="109"/>
      <c r="AE659" s="87"/>
      <c r="AF659" s="109">
        <v>1</v>
      </c>
      <c r="AG659" s="109">
        <v>1</v>
      </c>
      <c r="AH659" s="84"/>
      <c r="AI659" s="66"/>
      <c r="AJ659" s="54"/>
      <c r="AK659" s="54"/>
      <c r="AL659" s="54"/>
    </row>
    <row r="660" spans="1:38" outlineLevel="2" x14ac:dyDescent="0.25">
      <c r="A660" s="54"/>
      <c r="B660" s="63"/>
      <c r="C660" s="56">
        <f t="shared" si="75"/>
        <v>3</v>
      </c>
      <c r="D660" s="84"/>
      <c r="E660" s="79"/>
      <c r="F660" s="79" t="s">
        <v>1617</v>
      </c>
      <c r="G660" s="84"/>
      <c r="H660" s="87" t="s">
        <v>1618</v>
      </c>
      <c r="I660" s="108" t="s">
        <v>1619</v>
      </c>
      <c r="J660" s="108" t="s">
        <v>1292</v>
      </c>
      <c r="K660" s="87"/>
      <c r="L660" s="87"/>
      <c r="M660" s="87"/>
      <c r="N660" s="87"/>
      <c r="O660" s="87"/>
      <c r="P660" s="87"/>
      <c r="Q660" s="87"/>
      <c r="R660" s="87"/>
      <c r="S660" s="87"/>
      <c r="T660" s="87"/>
      <c r="U660" s="109">
        <v>0</v>
      </c>
      <c r="V660" s="109">
        <v>0</v>
      </c>
      <c r="W660" s="109">
        <v>0</v>
      </c>
      <c r="X660" s="313">
        <f t="shared" si="76"/>
        <v>0</v>
      </c>
      <c r="Y660" s="313">
        <f t="shared" si="76"/>
        <v>0</v>
      </c>
      <c r="Z660" s="313">
        <f t="shared" si="76"/>
        <v>0</v>
      </c>
      <c r="AA660" s="313">
        <f t="shared" si="76"/>
        <v>0</v>
      </c>
      <c r="AB660" s="313">
        <f t="shared" si="76"/>
        <v>0</v>
      </c>
      <c r="AC660" s="87"/>
      <c r="AD660" s="109" t="s">
        <v>1603</v>
      </c>
      <c r="AE660" s="87"/>
      <c r="AF660" s="109">
        <v>1</v>
      </c>
      <c r="AG660" s="109">
        <v>1</v>
      </c>
      <c r="AH660" s="84"/>
      <c r="AI660" s="66"/>
      <c r="AJ660" s="54"/>
      <c r="AK660" s="54"/>
      <c r="AL660" s="54"/>
    </row>
    <row r="661" spans="1:38" outlineLevel="2" x14ac:dyDescent="0.25">
      <c r="A661" s="54"/>
      <c r="B661" s="63"/>
      <c r="C661" s="56">
        <f t="shared" si="75"/>
        <v>3</v>
      </c>
      <c r="D661" s="84"/>
      <c r="E661" s="79"/>
      <c r="F661" s="79" t="s">
        <v>1620</v>
      </c>
      <c r="G661" s="84"/>
      <c r="H661" s="87" t="s">
        <v>1621</v>
      </c>
      <c r="I661" s="108" t="s">
        <v>1619</v>
      </c>
      <c r="J661" s="108" t="s">
        <v>1292</v>
      </c>
      <c r="K661" s="87"/>
      <c r="L661" s="87"/>
      <c r="M661" s="87"/>
      <c r="N661" s="87"/>
      <c r="O661" s="87"/>
      <c r="P661" s="87"/>
      <c r="Q661" s="87"/>
      <c r="R661" s="87"/>
      <c r="S661" s="87"/>
      <c r="T661" s="87"/>
      <c r="U661" s="109">
        <v>0.43</v>
      </c>
      <c r="V661" s="109">
        <v>0.43</v>
      </c>
      <c r="W661" s="109">
        <v>0.43</v>
      </c>
      <c r="X661" s="313">
        <f t="shared" si="76"/>
        <v>0.43</v>
      </c>
      <c r="Y661" s="313">
        <f t="shared" si="76"/>
        <v>0.43</v>
      </c>
      <c r="Z661" s="313">
        <f t="shared" si="76"/>
        <v>0.43</v>
      </c>
      <c r="AA661" s="313">
        <f t="shared" si="76"/>
        <v>0.43</v>
      </c>
      <c r="AB661" s="313">
        <f t="shared" si="76"/>
        <v>0.43</v>
      </c>
      <c r="AC661" s="87"/>
      <c r="AD661" s="109" t="s">
        <v>1606</v>
      </c>
      <c r="AE661" s="87"/>
      <c r="AF661" s="109">
        <v>1</v>
      </c>
      <c r="AG661" s="109">
        <v>1</v>
      </c>
      <c r="AH661" s="84"/>
      <c r="AI661" s="66"/>
      <c r="AJ661" s="54"/>
      <c r="AK661" s="54"/>
      <c r="AL661" s="54"/>
    </row>
    <row r="662" spans="1:38" outlineLevel="2" x14ac:dyDescent="0.25">
      <c r="A662" s="54"/>
      <c r="B662" s="63"/>
      <c r="C662" s="56">
        <f t="shared" si="75"/>
        <v>3</v>
      </c>
      <c r="D662" s="84"/>
      <c r="E662" s="79"/>
      <c r="F662" s="79" t="s">
        <v>1622</v>
      </c>
      <c r="G662" s="84"/>
      <c r="H662" s="87" t="s">
        <v>1623</v>
      </c>
      <c r="I662" s="108" t="s">
        <v>1619</v>
      </c>
      <c r="J662" s="108" t="s">
        <v>1292</v>
      </c>
      <c r="K662" s="87"/>
      <c r="L662" s="87"/>
      <c r="M662" s="87"/>
      <c r="N662" s="87"/>
      <c r="O662" s="87"/>
      <c r="P662" s="87"/>
      <c r="Q662" s="87"/>
      <c r="R662" s="87"/>
      <c r="S662" s="87"/>
      <c r="T662" s="87"/>
      <c r="U662" s="109">
        <v>0.8</v>
      </c>
      <c r="V662" s="109">
        <v>0.8</v>
      </c>
      <c r="W662" s="109">
        <v>0.8</v>
      </c>
      <c r="X662" s="313">
        <f t="shared" si="76"/>
        <v>0.8</v>
      </c>
      <c r="Y662" s="313">
        <f t="shared" si="76"/>
        <v>0.8</v>
      </c>
      <c r="Z662" s="313">
        <f t="shared" si="76"/>
        <v>0.8</v>
      </c>
      <c r="AA662" s="313">
        <f t="shared" si="76"/>
        <v>0.8</v>
      </c>
      <c r="AB662" s="313">
        <f t="shared" si="76"/>
        <v>0.8</v>
      </c>
      <c r="AC662" s="87"/>
      <c r="AD662" s="325" t="s">
        <v>1609</v>
      </c>
      <c r="AE662" s="87"/>
      <c r="AF662" s="109">
        <v>1</v>
      </c>
      <c r="AG662" s="109">
        <v>1</v>
      </c>
      <c r="AH662" s="84"/>
      <c r="AI662" s="66"/>
      <c r="AJ662" s="54"/>
      <c r="AK662" s="54"/>
      <c r="AL662" s="54"/>
    </row>
    <row r="663" spans="1:38" outlineLevel="2" x14ac:dyDescent="0.25">
      <c r="A663" s="54"/>
      <c r="B663" s="63"/>
      <c r="C663" s="56">
        <f t="shared" si="75"/>
        <v>3</v>
      </c>
      <c r="D663" s="84"/>
      <c r="E663" s="79"/>
      <c r="F663" s="79" t="s">
        <v>1624</v>
      </c>
      <c r="G663" s="84"/>
      <c r="H663" s="87" t="s">
        <v>1625</v>
      </c>
      <c r="I663" s="108" t="s">
        <v>1619</v>
      </c>
      <c r="J663" s="108" t="s">
        <v>1292</v>
      </c>
      <c r="K663" s="87"/>
      <c r="L663" s="87"/>
      <c r="M663" s="87"/>
      <c r="N663" s="87"/>
      <c r="O663" s="87"/>
      <c r="P663" s="87"/>
      <c r="Q663" s="87"/>
      <c r="R663" s="87"/>
      <c r="S663" s="87"/>
      <c r="T663" s="87"/>
      <c r="U663" s="109">
        <v>8.9999999999999993E-3</v>
      </c>
      <c r="V663" s="109">
        <v>8.9999999999999993E-3</v>
      </c>
      <c r="W663" s="109">
        <v>8.9999999999999993E-3</v>
      </c>
      <c r="X663" s="313">
        <f t="shared" si="76"/>
        <v>8.9999999999999993E-3</v>
      </c>
      <c r="Y663" s="313">
        <f t="shared" si="76"/>
        <v>8.9999999999999993E-3</v>
      </c>
      <c r="Z663" s="313">
        <f t="shared" si="76"/>
        <v>8.9999999999999993E-3</v>
      </c>
      <c r="AA663" s="313">
        <f t="shared" si="76"/>
        <v>8.9999999999999993E-3</v>
      </c>
      <c r="AB663" s="313">
        <f t="shared" si="76"/>
        <v>8.9999999999999993E-3</v>
      </c>
      <c r="AC663" s="87"/>
      <c r="AD663" s="109" t="s">
        <v>1626</v>
      </c>
      <c r="AE663" s="87"/>
      <c r="AF663" s="109">
        <v>1</v>
      </c>
      <c r="AG663" s="109">
        <v>1</v>
      </c>
      <c r="AH663" s="84"/>
      <c r="AI663" s="66"/>
      <c r="AJ663" s="54"/>
      <c r="AK663" s="54"/>
      <c r="AL663" s="54"/>
    </row>
    <row r="664" spans="1:38" outlineLevel="2" x14ac:dyDescent="0.25">
      <c r="A664" s="54">
        <v>4</v>
      </c>
      <c r="B664" s="63"/>
      <c r="C664" s="56">
        <f t="shared" si="75"/>
        <v>3</v>
      </c>
      <c r="D664" s="84"/>
      <c r="E664" s="79"/>
      <c r="F664" s="79" t="s">
        <v>1627</v>
      </c>
      <c r="G664" s="84"/>
      <c r="H664" s="87" t="s">
        <v>1628</v>
      </c>
      <c r="I664" s="108" t="s">
        <v>1619</v>
      </c>
      <c r="J664" s="108" t="s">
        <v>1292</v>
      </c>
      <c r="K664" s="87"/>
      <c r="L664" s="87"/>
      <c r="M664" s="87"/>
      <c r="N664" s="87"/>
      <c r="O664" s="87"/>
      <c r="P664" s="87"/>
      <c r="Q664" s="87"/>
      <c r="R664" s="87"/>
      <c r="S664" s="87"/>
      <c r="T664" s="87"/>
      <c r="U664" s="109">
        <v>0.48199999999999998</v>
      </c>
      <c r="V664" s="109">
        <v>0.48199999999999998</v>
      </c>
      <c r="W664" s="109">
        <v>0.48199999999999998</v>
      </c>
      <c r="X664" s="313">
        <f t="shared" si="76"/>
        <v>0.48199999999999998</v>
      </c>
      <c r="Y664" s="313">
        <f t="shared" si="76"/>
        <v>0.48199999999999998</v>
      </c>
      <c r="Z664" s="313">
        <f t="shared" si="76"/>
        <v>0.48199999999999998</v>
      </c>
      <c r="AA664" s="313">
        <f t="shared" si="76"/>
        <v>0.48199999999999998</v>
      </c>
      <c r="AB664" s="313">
        <f t="shared" si="76"/>
        <v>0.48199999999999998</v>
      </c>
      <c r="AC664" s="87"/>
      <c r="AD664" s="109"/>
      <c r="AE664" s="87"/>
      <c r="AF664" s="109">
        <v>1</v>
      </c>
      <c r="AG664" s="109">
        <v>1</v>
      </c>
      <c r="AH664" s="84"/>
      <c r="AI664" s="66"/>
      <c r="AJ664" s="54"/>
      <c r="AK664" s="54"/>
      <c r="AL664" s="54"/>
    </row>
    <row r="665" spans="1:38" outlineLevel="2" collapsed="1" x14ac:dyDescent="0.25">
      <c r="A665" s="54">
        <f>A664</f>
        <v>4</v>
      </c>
      <c r="B665" s="63"/>
      <c r="C665" s="56">
        <f t="shared" si="75"/>
        <v>3</v>
      </c>
      <c r="D665" s="84"/>
      <c r="E665" s="79"/>
      <c r="F665" s="79" t="s">
        <v>1629</v>
      </c>
      <c r="G665" s="84"/>
      <c r="H665" s="87" t="s">
        <v>1630</v>
      </c>
      <c r="I665" s="108" t="s">
        <v>1619</v>
      </c>
      <c r="J665" s="108" t="s">
        <v>1292</v>
      </c>
      <c r="K665" s="87"/>
      <c r="L665" s="87"/>
      <c r="M665" s="87"/>
      <c r="N665" s="87"/>
      <c r="O665" s="87"/>
      <c r="P665" s="87"/>
      <c r="Q665" s="87"/>
      <c r="R665" s="87"/>
      <c r="S665" s="87"/>
      <c r="T665" s="87"/>
      <c r="U665" s="109">
        <v>0.128</v>
      </c>
      <c r="V665" s="109">
        <v>0.128</v>
      </c>
      <c r="W665" s="109">
        <v>0.128</v>
      </c>
      <c r="X665" s="313">
        <f t="shared" si="76"/>
        <v>0.128</v>
      </c>
      <c r="Y665" s="313">
        <f t="shared" si="76"/>
        <v>0.128</v>
      </c>
      <c r="Z665" s="313">
        <f t="shared" si="76"/>
        <v>0.128</v>
      </c>
      <c r="AA665" s="313">
        <f t="shared" si="76"/>
        <v>0.128</v>
      </c>
      <c r="AB665" s="313">
        <f t="shared" si="76"/>
        <v>0.128</v>
      </c>
      <c r="AC665" s="87"/>
      <c r="AD665" s="109"/>
      <c r="AE665" s="87"/>
      <c r="AF665" s="109">
        <v>1</v>
      </c>
      <c r="AG665" s="109">
        <v>1</v>
      </c>
      <c r="AH665" s="84"/>
      <c r="AI665" s="66"/>
      <c r="AJ665" s="54"/>
      <c r="AK665" s="54"/>
      <c r="AL665" s="54"/>
    </row>
    <row r="666" spans="1:38" hidden="1" outlineLevel="3" x14ac:dyDescent="0.25">
      <c r="A666" s="54"/>
      <c r="B666" s="63"/>
      <c r="C666" s="56">
        <f t="shared" si="74"/>
        <v>4</v>
      </c>
      <c r="D666" s="84"/>
      <c r="E666" s="79"/>
      <c r="F666" s="79" t="s">
        <v>1631</v>
      </c>
      <c r="G666" s="84"/>
      <c r="H666" s="87" t="s">
        <v>727</v>
      </c>
      <c r="I666" s="108"/>
      <c r="J666" s="108"/>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1632</v>
      </c>
      <c r="G667" s="84"/>
      <c r="H667" s="87"/>
      <c r="I667" s="108"/>
      <c r="J667" s="108"/>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1633</v>
      </c>
      <c r="G668" s="84"/>
      <c r="H668" s="87"/>
      <c r="I668" s="108"/>
      <c r="J668" s="108"/>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1634</v>
      </c>
      <c r="G669" s="84"/>
      <c r="H669" s="87"/>
      <c r="I669" s="108"/>
      <c r="J669" s="108"/>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1635</v>
      </c>
      <c r="G670" s="84"/>
      <c r="H670" s="87"/>
      <c r="I670" s="108"/>
      <c r="J670" s="108"/>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1636</v>
      </c>
      <c r="G671" s="84"/>
      <c r="H671" s="87"/>
      <c r="I671" s="108"/>
      <c r="J671" s="108"/>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25">
      <c r="A672" s="54"/>
      <c r="B672" s="63"/>
      <c r="C672" s="56">
        <f t="shared" ref="C672:C695" si="77">INT($C$40)+2</f>
        <v>3</v>
      </c>
      <c r="D672" s="84"/>
      <c r="E672" s="79"/>
      <c r="F672" s="79" t="s">
        <v>1637</v>
      </c>
      <c r="G672" s="84"/>
      <c r="H672" s="87" t="s">
        <v>1638</v>
      </c>
      <c r="I672" s="108"/>
      <c r="J672" s="108" t="s">
        <v>1335</v>
      </c>
      <c r="K672" s="87"/>
      <c r="L672" s="87"/>
      <c r="M672" s="87"/>
      <c r="N672" s="87"/>
      <c r="O672" s="87"/>
      <c r="P672" s="87"/>
      <c r="Q672" s="87"/>
      <c r="R672" s="87"/>
      <c r="S672" s="87"/>
      <c r="T672" s="87"/>
      <c r="U672" s="323">
        <f>U$758</f>
        <v>0.1</v>
      </c>
      <c r="V672" s="323">
        <f t="shared" ref="V672:AB672" si="78">V$758</f>
        <v>0.1</v>
      </c>
      <c r="W672" s="323">
        <f t="shared" si="78"/>
        <v>0.1</v>
      </c>
      <c r="X672" s="323">
        <f t="shared" si="78"/>
        <v>0.1</v>
      </c>
      <c r="Y672" s="323">
        <f t="shared" si="78"/>
        <v>0.1</v>
      </c>
      <c r="Z672" s="323">
        <f t="shared" si="78"/>
        <v>0.1</v>
      </c>
      <c r="AA672" s="323">
        <f t="shared" si="78"/>
        <v>0.1</v>
      </c>
      <c r="AB672" s="323">
        <f t="shared" si="78"/>
        <v>0.1</v>
      </c>
      <c r="AC672" s="87"/>
      <c r="AD672" s="87" t="s">
        <v>1572</v>
      </c>
      <c r="AE672" s="87"/>
      <c r="AF672" s="323">
        <f>AF$758</f>
        <v>1</v>
      </c>
      <c r="AG672" s="323">
        <f>AG$758</f>
        <v>1</v>
      </c>
      <c r="AH672" s="84"/>
      <c r="AI672" s="66"/>
      <c r="AJ672" s="54"/>
      <c r="AK672" s="54"/>
      <c r="AL672" s="54"/>
    </row>
    <row r="673" spans="1:38" outlineLevel="2" x14ac:dyDescent="0.25">
      <c r="A673" s="54"/>
      <c r="B673" s="63"/>
      <c r="C673" s="56">
        <f t="shared" si="77"/>
        <v>3</v>
      </c>
      <c r="D673" s="84"/>
      <c r="E673" s="79"/>
      <c r="F673" s="79" t="s">
        <v>1639</v>
      </c>
      <c r="G673" s="84"/>
      <c r="H673" s="87" t="s">
        <v>1640</v>
      </c>
      <c r="I673" s="108"/>
      <c r="J673" s="108" t="s">
        <v>1335</v>
      </c>
      <c r="K673" s="87"/>
      <c r="L673" s="87"/>
      <c r="M673" s="87"/>
      <c r="N673" s="87"/>
      <c r="O673" s="87"/>
      <c r="P673" s="87"/>
      <c r="Q673" s="87"/>
      <c r="R673" s="87"/>
      <c r="S673" s="87"/>
      <c r="T673" s="87"/>
      <c r="U673" s="323">
        <f>U$759</f>
        <v>8.5000000000000006E-2</v>
      </c>
      <c r="V673" s="323">
        <f t="shared" ref="V673:AB673" si="79">V$759</f>
        <v>8.5000000000000006E-2</v>
      </c>
      <c r="W673" s="323">
        <f t="shared" si="79"/>
        <v>8.5000000000000006E-2</v>
      </c>
      <c r="X673" s="323">
        <f t="shared" si="79"/>
        <v>8.5000000000000006E-2</v>
      </c>
      <c r="Y673" s="323">
        <f t="shared" si="79"/>
        <v>8.5000000000000006E-2</v>
      </c>
      <c r="Z673" s="323">
        <f t="shared" si="79"/>
        <v>8.5000000000000006E-2</v>
      </c>
      <c r="AA673" s="323">
        <f t="shared" si="79"/>
        <v>8.5000000000000006E-2</v>
      </c>
      <c r="AB673" s="323">
        <f t="shared" si="79"/>
        <v>8.5000000000000006E-2</v>
      </c>
      <c r="AC673" s="87"/>
      <c r="AD673" s="87"/>
      <c r="AE673" s="87"/>
      <c r="AF673" s="323">
        <f>AF$759</f>
        <v>1</v>
      </c>
      <c r="AG673" s="323">
        <f>AG$759</f>
        <v>1</v>
      </c>
      <c r="AH673" s="84"/>
      <c r="AI673" s="66"/>
      <c r="AJ673" s="54"/>
      <c r="AK673" s="54"/>
      <c r="AL673" s="54"/>
    </row>
    <row r="674" spans="1:38" outlineLevel="2" x14ac:dyDescent="0.25">
      <c r="A674" s="54"/>
      <c r="B674" s="63"/>
      <c r="C674" s="56">
        <f t="shared" si="77"/>
        <v>3</v>
      </c>
      <c r="D674" s="84"/>
      <c r="E674" s="79"/>
      <c r="F674" s="79" t="s">
        <v>1641</v>
      </c>
      <c r="G674" s="84"/>
      <c r="H674" s="87" t="s">
        <v>1642</v>
      </c>
      <c r="I674" s="108"/>
      <c r="J674" s="108" t="s">
        <v>1335</v>
      </c>
      <c r="K674" s="87"/>
      <c r="L674" s="87"/>
      <c r="M674" s="87"/>
      <c r="N674" s="87"/>
      <c r="O674" s="87"/>
      <c r="P674" s="87"/>
      <c r="Q674" s="87"/>
      <c r="R674" s="87"/>
      <c r="S674" s="87"/>
      <c r="T674" s="87"/>
      <c r="U674" s="323">
        <f>U$760</f>
        <v>7.0000000000000007E-2</v>
      </c>
      <c r="V674" s="323">
        <f t="shared" ref="V674:AB674" si="80">V$760</f>
        <v>7.0000000000000007E-2</v>
      </c>
      <c r="W674" s="323">
        <f t="shared" si="80"/>
        <v>7.0000000000000007E-2</v>
      </c>
      <c r="X674" s="323">
        <f t="shared" si="80"/>
        <v>7.0000000000000007E-2</v>
      </c>
      <c r="Y674" s="323">
        <f t="shared" si="80"/>
        <v>7.0000000000000007E-2</v>
      </c>
      <c r="Z674" s="323">
        <f t="shared" si="80"/>
        <v>7.0000000000000007E-2</v>
      </c>
      <c r="AA674" s="323">
        <f t="shared" si="80"/>
        <v>7.0000000000000007E-2</v>
      </c>
      <c r="AB674" s="323">
        <f t="shared" si="80"/>
        <v>7.0000000000000007E-2</v>
      </c>
      <c r="AC674" s="87"/>
      <c r="AD674" s="87"/>
      <c r="AE674" s="87"/>
      <c r="AF674" s="323">
        <f>AF$760</f>
        <v>1</v>
      </c>
      <c r="AG674" s="323">
        <f>AG$760</f>
        <v>1</v>
      </c>
      <c r="AH674" s="84"/>
      <c r="AI674" s="66"/>
      <c r="AJ674" s="54"/>
      <c r="AK674" s="54"/>
      <c r="AL674" s="54"/>
    </row>
    <row r="675" spans="1:38" outlineLevel="2" x14ac:dyDescent="0.25">
      <c r="A675" s="54"/>
      <c r="B675" s="63"/>
      <c r="C675" s="56">
        <f t="shared" si="77"/>
        <v>3</v>
      </c>
      <c r="D675" s="84"/>
      <c r="E675" s="79"/>
      <c r="F675" s="79" t="s">
        <v>1643</v>
      </c>
      <c r="G675" s="84"/>
      <c r="H675" s="87" t="s">
        <v>1644</v>
      </c>
      <c r="I675" s="108"/>
      <c r="J675" s="108" t="s">
        <v>1335</v>
      </c>
      <c r="K675" s="87"/>
      <c r="L675" s="87"/>
      <c r="M675" s="87"/>
      <c r="N675" s="87"/>
      <c r="O675" s="87"/>
      <c r="P675" s="87"/>
      <c r="Q675" s="87"/>
      <c r="R675" s="87"/>
      <c r="S675" s="87"/>
      <c r="T675" s="87"/>
      <c r="U675" s="323">
        <f>U$759</f>
        <v>8.5000000000000006E-2</v>
      </c>
      <c r="V675" s="323">
        <f t="shared" ref="V675:AB675" si="81">V$759</f>
        <v>8.5000000000000006E-2</v>
      </c>
      <c r="W675" s="323">
        <f t="shared" si="81"/>
        <v>8.5000000000000006E-2</v>
      </c>
      <c r="X675" s="323">
        <f t="shared" si="81"/>
        <v>8.5000000000000006E-2</v>
      </c>
      <c r="Y675" s="323">
        <f t="shared" si="81"/>
        <v>8.5000000000000006E-2</v>
      </c>
      <c r="Z675" s="323">
        <f t="shared" si="81"/>
        <v>8.5000000000000006E-2</v>
      </c>
      <c r="AA675" s="323">
        <f t="shared" si="81"/>
        <v>8.5000000000000006E-2</v>
      </c>
      <c r="AB675" s="323">
        <f t="shared" si="81"/>
        <v>8.5000000000000006E-2</v>
      </c>
      <c r="AC675" s="87"/>
      <c r="AD675" s="87"/>
      <c r="AE675" s="87"/>
      <c r="AF675" s="323">
        <f>AF$759</f>
        <v>1</v>
      </c>
      <c r="AG675" s="323">
        <f>AG$759</f>
        <v>1</v>
      </c>
      <c r="AH675" s="84"/>
      <c r="AI675" s="66"/>
      <c r="AJ675" s="54"/>
      <c r="AK675" s="54"/>
      <c r="AL675" s="54"/>
    </row>
    <row r="676" spans="1:38" outlineLevel="2" x14ac:dyDescent="0.25">
      <c r="A676" s="54">
        <v>4</v>
      </c>
      <c r="B676" s="63"/>
      <c r="C676" s="56">
        <f t="shared" si="77"/>
        <v>3</v>
      </c>
      <c r="D676" s="84"/>
      <c r="E676" s="79"/>
      <c r="F676" s="79" t="s">
        <v>1645</v>
      </c>
      <c r="G676" s="84"/>
      <c r="H676" s="87" t="s">
        <v>1646</v>
      </c>
      <c r="I676" s="108"/>
      <c r="J676" s="108" t="s">
        <v>1335</v>
      </c>
      <c r="K676" s="87"/>
      <c r="L676" s="87"/>
      <c r="M676" s="87"/>
      <c r="N676" s="87"/>
      <c r="O676" s="87"/>
      <c r="P676" s="87"/>
      <c r="Q676" s="87"/>
      <c r="R676" s="87"/>
      <c r="S676" s="87"/>
      <c r="T676" s="87"/>
      <c r="U676" s="323">
        <f>U$760</f>
        <v>7.0000000000000007E-2</v>
      </c>
      <c r="V676" s="323">
        <f t="shared" ref="V676:AB677" si="82">V$760</f>
        <v>7.0000000000000007E-2</v>
      </c>
      <c r="W676" s="323">
        <f t="shared" si="82"/>
        <v>7.0000000000000007E-2</v>
      </c>
      <c r="X676" s="323">
        <f t="shared" si="82"/>
        <v>7.0000000000000007E-2</v>
      </c>
      <c r="Y676" s="323">
        <f t="shared" si="82"/>
        <v>7.0000000000000007E-2</v>
      </c>
      <c r="Z676" s="323">
        <f t="shared" si="82"/>
        <v>7.0000000000000007E-2</v>
      </c>
      <c r="AA676" s="323">
        <f t="shared" si="82"/>
        <v>7.0000000000000007E-2</v>
      </c>
      <c r="AB676" s="323">
        <f t="shared" si="82"/>
        <v>7.0000000000000007E-2</v>
      </c>
      <c r="AC676" s="87"/>
      <c r="AD676" s="87"/>
      <c r="AE676" s="87"/>
      <c r="AF676" s="323">
        <f>AF$760</f>
        <v>1</v>
      </c>
      <c r="AG676" s="323">
        <f>AG$760</f>
        <v>1</v>
      </c>
      <c r="AH676" s="84"/>
      <c r="AI676" s="66"/>
      <c r="AJ676" s="54"/>
      <c r="AK676" s="54"/>
      <c r="AL676" s="54"/>
    </row>
    <row r="677" spans="1:38" outlineLevel="2" x14ac:dyDescent="0.25">
      <c r="A677" s="54">
        <f>A676</f>
        <v>4</v>
      </c>
      <c r="B677" s="63"/>
      <c r="C677" s="56">
        <f t="shared" si="77"/>
        <v>3</v>
      </c>
      <c r="D677" s="84"/>
      <c r="E677" s="79"/>
      <c r="F677" s="79" t="s">
        <v>1647</v>
      </c>
      <c r="G677" s="84"/>
      <c r="H677" s="87" t="s">
        <v>1648</v>
      </c>
      <c r="I677" s="108"/>
      <c r="J677" s="108" t="s">
        <v>1335</v>
      </c>
      <c r="K677" s="87"/>
      <c r="L677" s="87"/>
      <c r="M677" s="87"/>
      <c r="N677" s="87"/>
      <c r="O677" s="87"/>
      <c r="P677" s="87"/>
      <c r="Q677" s="87"/>
      <c r="R677" s="87"/>
      <c r="S677" s="87"/>
      <c r="T677" s="87"/>
      <c r="U677" s="323">
        <f>U$760</f>
        <v>7.0000000000000007E-2</v>
      </c>
      <c r="V677" s="323">
        <f t="shared" si="82"/>
        <v>7.0000000000000007E-2</v>
      </c>
      <c r="W677" s="323">
        <f t="shared" si="82"/>
        <v>7.0000000000000007E-2</v>
      </c>
      <c r="X677" s="323">
        <f t="shared" si="82"/>
        <v>7.0000000000000007E-2</v>
      </c>
      <c r="Y677" s="323">
        <f t="shared" si="82"/>
        <v>7.0000000000000007E-2</v>
      </c>
      <c r="Z677" s="323">
        <f t="shared" si="82"/>
        <v>7.0000000000000007E-2</v>
      </c>
      <c r="AA677" s="323">
        <f t="shared" si="82"/>
        <v>7.0000000000000007E-2</v>
      </c>
      <c r="AB677" s="323">
        <f t="shared" si="82"/>
        <v>7.0000000000000007E-2</v>
      </c>
      <c r="AC677" s="87"/>
      <c r="AD677" s="87"/>
      <c r="AE677" s="87"/>
      <c r="AF677" s="323">
        <f>AF$760</f>
        <v>1</v>
      </c>
      <c r="AG677" s="323">
        <f>AG$760</f>
        <v>1</v>
      </c>
      <c r="AH677" s="84"/>
      <c r="AI677" s="66"/>
      <c r="AJ677" s="54"/>
      <c r="AK677" s="54"/>
      <c r="AL677" s="54"/>
    </row>
    <row r="678" spans="1:38" outlineLevel="2" x14ac:dyDescent="0.25">
      <c r="A678" s="54"/>
      <c r="B678" s="63"/>
      <c r="C678" s="56">
        <f t="shared" si="77"/>
        <v>3</v>
      </c>
      <c r="D678" s="84"/>
      <c r="E678" s="79"/>
      <c r="F678" s="79" t="s">
        <v>1649</v>
      </c>
      <c r="G678" s="84"/>
      <c r="H678" s="87" t="s">
        <v>1650</v>
      </c>
      <c r="I678" s="108" t="s">
        <v>820</v>
      </c>
      <c r="J678" s="108" t="s">
        <v>1292</v>
      </c>
      <c r="K678" s="87"/>
      <c r="L678" s="87"/>
      <c r="M678" s="87"/>
      <c r="N678" s="87"/>
      <c r="O678" s="87"/>
      <c r="P678" s="87"/>
      <c r="Q678" s="87"/>
      <c r="R678" s="87"/>
      <c r="S678" s="87"/>
      <c r="T678" s="87"/>
      <c r="U678" s="323">
        <f>U$762</f>
        <v>0</v>
      </c>
      <c r="V678" s="323">
        <f t="shared" ref="V678:AB678" si="83">V$762</f>
        <v>0</v>
      </c>
      <c r="W678" s="323">
        <f t="shared" si="83"/>
        <v>0</v>
      </c>
      <c r="X678" s="323">
        <f t="shared" si="83"/>
        <v>0</v>
      </c>
      <c r="Y678" s="323">
        <f t="shared" si="83"/>
        <v>0</v>
      </c>
      <c r="Z678" s="323">
        <f t="shared" si="83"/>
        <v>0</v>
      </c>
      <c r="AA678" s="323">
        <f t="shared" si="83"/>
        <v>0</v>
      </c>
      <c r="AB678" s="323">
        <f t="shared" si="83"/>
        <v>0</v>
      </c>
      <c r="AC678" s="87"/>
      <c r="AD678" s="87" t="s">
        <v>1572</v>
      </c>
      <c r="AE678" s="87"/>
      <c r="AF678" s="323">
        <f>AF$762</f>
        <v>1</v>
      </c>
      <c r="AG678" s="323">
        <f>AG$762</f>
        <v>1</v>
      </c>
      <c r="AH678" s="84"/>
      <c r="AI678" s="66"/>
      <c r="AJ678" s="54"/>
      <c r="AK678" s="54"/>
      <c r="AL678" s="54"/>
    </row>
    <row r="679" spans="1:38" outlineLevel="2" x14ac:dyDescent="0.25">
      <c r="A679" s="54"/>
      <c r="B679" s="63"/>
      <c r="C679" s="56">
        <f t="shared" si="77"/>
        <v>3</v>
      </c>
      <c r="D679" s="84"/>
      <c r="E679" s="79"/>
      <c r="F679" s="79" t="s">
        <v>1651</v>
      </c>
      <c r="G679" s="84"/>
      <c r="H679" s="87" t="s">
        <v>1652</v>
      </c>
      <c r="I679" s="108" t="s">
        <v>820</v>
      </c>
      <c r="J679" s="108" t="s">
        <v>1292</v>
      </c>
      <c r="K679" s="87"/>
      <c r="L679" s="87"/>
      <c r="M679" s="87"/>
      <c r="N679" s="87"/>
      <c r="O679" s="87"/>
      <c r="P679" s="87"/>
      <c r="Q679" s="87"/>
      <c r="R679" s="87"/>
      <c r="S679" s="87"/>
      <c r="T679" s="87"/>
      <c r="U679" s="323">
        <f>U$763</f>
        <v>-1.03</v>
      </c>
      <c r="V679" s="323">
        <f t="shared" ref="V679:AB679" si="84">V$763</f>
        <v>-1.03</v>
      </c>
      <c r="W679" s="323">
        <f t="shared" si="84"/>
        <v>-1.03</v>
      </c>
      <c r="X679" s="323">
        <f t="shared" si="84"/>
        <v>-1.03</v>
      </c>
      <c r="Y679" s="323">
        <f t="shared" si="84"/>
        <v>-1.08</v>
      </c>
      <c r="Z679" s="323">
        <f t="shared" si="84"/>
        <v>-1.08</v>
      </c>
      <c r="AA679" s="323">
        <f t="shared" si="84"/>
        <v>-1.08</v>
      </c>
      <c r="AB679" s="323">
        <f t="shared" si="84"/>
        <v>-1.08</v>
      </c>
      <c r="AC679" s="87"/>
      <c r="AD679" s="87"/>
      <c r="AE679" s="87"/>
      <c r="AF679" s="323">
        <f>AF$763</f>
        <v>1</v>
      </c>
      <c r="AG679" s="323">
        <f>AG$763</f>
        <v>1</v>
      </c>
      <c r="AH679" s="84"/>
      <c r="AI679" s="66"/>
      <c r="AJ679" s="54"/>
      <c r="AK679" s="54"/>
      <c r="AL679" s="54"/>
    </row>
    <row r="680" spans="1:38" outlineLevel="2" x14ac:dyDescent="0.25">
      <c r="A680" s="54"/>
      <c r="B680" s="63"/>
      <c r="C680" s="56">
        <f t="shared" si="77"/>
        <v>3</v>
      </c>
      <c r="D680" s="84"/>
      <c r="E680" s="79"/>
      <c r="F680" s="79" t="s">
        <v>1653</v>
      </c>
      <c r="G680" s="84"/>
      <c r="H680" s="87" t="s">
        <v>1654</v>
      </c>
      <c r="I680" s="108" t="s">
        <v>820</v>
      </c>
      <c r="J680" s="108" t="s">
        <v>1292</v>
      </c>
      <c r="K680" s="87"/>
      <c r="L680" s="87"/>
      <c r="M680" s="87"/>
      <c r="N680" s="87"/>
      <c r="O680" s="87"/>
      <c r="P680" s="87"/>
      <c r="Q680" s="87"/>
      <c r="R680" s="87"/>
      <c r="S680" s="87"/>
      <c r="T680" s="87"/>
      <c r="U680" s="323">
        <f>U$764</f>
        <v>-2</v>
      </c>
      <c r="V680" s="323">
        <f t="shared" ref="V680:AB680" si="85">V$764</f>
        <v>-2</v>
      </c>
      <c r="W680" s="323">
        <f t="shared" si="85"/>
        <v>-2</v>
      </c>
      <c r="X680" s="323">
        <f t="shared" si="85"/>
        <v>-2</v>
      </c>
      <c r="Y680" s="323">
        <f t="shared" si="85"/>
        <v>-2.0099999999999998</v>
      </c>
      <c r="Z680" s="323">
        <f t="shared" si="85"/>
        <v>-2.0099999999999998</v>
      </c>
      <c r="AA680" s="323">
        <f t="shared" si="85"/>
        <v>-2.0099999999999998</v>
      </c>
      <c r="AB680" s="323">
        <f t="shared" si="85"/>
        <v>-2.0099999999999998</v>
      </c>
      <c r="AC680" s="87"/>
      <c r="AD680" s="87"/>
      <c r="AE680" s="87"/>
      <c r="AF680" s="323">
        <f>AF$764</f>
        <v>1</v>
      </c>
      <c r="AG680" s="323">
        <f>AG$764</f>
        <v>1</v>
      </c>
      <c r="AH680" s="84"/>
      <c r="AI680" s="66"/>
      <c r="AJ680" s="54"/>
      <c r="AK680" s="54"/>
      <c r="AL680" s="54"/>
    </row>
    <row r="681" spans="1:38" outlineLevel="2" x14ac:dyDescent="0.25">
      <c r="A681" s="54"/>
      <c r="B681" s="63"/>
      <c r="C681" s="56">
        <f t="shared" si="77"/>
        <v>3</v>
      </c>
      <c r="D681" s="84"/>
      <c r="E681" s="79"/>
      <c r="F681" s="79" t="s">
        <v>1655</v>
      </c>
      <c r="G681" s="84"/>
      <c r="H681" s="87" t="s">
        <v>1656</v>
      </c>
      <c r="I681" s="108" t="s">
        <v>820</v>
      </c>
      <c r="J681" s="108" t="s">
        <v>1292</v>
      </c>
      <c r="K681" s="87"/>
      <c r="L681" s="87"/>
      <c r="M681" s="87"/>
      <c r="N681" s="87"/>
      <c r="O681" s="87"/>
      <c r="P681" s="87"/>
      <c r="Q681" s="87"/>
      <c r="R681" s="87"/>
      <c r="S681" s="87"/>
      <c r="T681" s="87"/>
      <c r="U681" s="323">
        <f>U$763</f>
        <v>-1.03</v>
      </c>
      <c r="V681" s="323">
        <f t="shared" ref="V681:AB681" si="86">V$763</f>
        <v>-1.03</v>
      </c>
      <c r="W681" s="323">
        <f t="shared" si="86"/>
        <v>-1.03</v>
      </c>
      <c r="X681" s="323">
        <f t="shared" si="86"/>
        <v>-1.03</v>
      </c>
      <c r="Y681" s="323">
        <f t="shared" si="86"/>
        <v>-1.08</v>
      </c>
      <c r="Z681" s="323">
        <f t="shared" si="86"/>
        <v>-1.08</v>
      </c>
      <c r="AA681" s="323">
        <f t="shared" si="86"/>
        <v>-1.08</v>
      </c>
      <c r="AB681" s="323">
        <f t="shared" si="86"/>
        <v>-1.08</v>
      </c>
      <c r="AC681" s="87"/>
      <c r="AD681" s="87"/>
      <c r="AE681" s="87"/>
      <c r="AF681" s="323">
        <f>AF$763</f>
        <v>1</v>
      </c>
      <c r="AG681" s="323">
        <f>AG$763</f>
        <v>1</v>
      </c>
      <c r="AH681" s="84"/>
      <c r="AI681" s="66"/>
      <c r="AJ681" s="54"/>
      <c r="AK681" s="54"/>
      <c r="AL681" s="54"/>
    </row>
    <row r="682" spans="1:38" outlineLevel="2" x14ac:dyDescent="0.25">
      <c r="A682" s="54">
        <v>4</v>
      </c>
      <c r="B682" s="63"/>
      <c r="C682" s="56">
        <f t="shared" si="77"/>
        <v>3</v>
      </c>
      <c r="D682" s="84"/>
      <c r="E682" s="79"/>
      <c r="F682" s="79" t="s">
        <v>1657</v>
      </c>
      <c r="G682" s="84"/>
      <c r="H682" s="87" t="s">
        <v>1658</v>
      </c>
      <c r="I682" s="108" t="s">
        <v>820</v>
      </c>
      <c r="J682" s="108" t="s">
        <v>1292</v>
      </c>
      <c r="K682" s="87"/>
      <c r="L682" s="87"/>
      <c r="M682" s="87"/>
      <c r="N682" s="87"/>
      <c r="O682" s="87"/>
      <c r="P682" s="87"/>
      <c r="Q682" s="87"/>
      <c r="R682" s="87"/>
      <c r="S682" s="87"/>
      <c r="T682" s="87"/>
      <c r="U682" s="323">
        <f>U$764</f>
        <v>-2</v>
      </c>
      <c r="V682" s="323">
        <f t="shared" ref="V682:AB683" si="87">V$764</f>
        <v>-2</v>
      </c>
      <c r="W682" s="323">
        <f t="shared" si="87"/>
        <v>-2</v>
      </c>
      <c r="X682" s="323">
        <f t="shared" si="87"/>
        <v>-2</v>
      </c>
      <c r="Y682" s="323">
        <f t="shared" si="87"/>
        <v>-2.0099999999999998</v>
      </c>
      <c r="Z682" s="323">
        <f t="shared" si="87"/>
        <v>-2.0099999999999998</v>
      </c>
      <c r="AA682" s="323">
        <f t="shared" si="87"/>
        <v>-2.0099999999999998</v>
      </c>
      <c r="AB682" s="323">
        <f t="shared" si="87"/>
        <v>-2.0099999999999998</v>
      </c>
      <c r="AC682" s="87"/>
      <c r="AD682" s="87"/>
      <c r="AE682" s="87"/>
      <c r="AF682" s="323">
        <f>AF$764</f>
        <v>1</v>
      </c>
      <c r="AG682" s="323">
        <f>AG$764</f>
        <v>1</v>
      </c>
      <c r="AH682" s="84"/>
      <c r="AI682" s="66"/>
      <c r="AJ682" s="54"/>
      <c r="AK682" s="54"/>
      <c r="AL682" s="54"/>
    </row>
    <row r="683" spans="1:38" outlineLevel="2" x14ac:dyDescent="0.25">
      <c r="A683" s="54">
        <f>A682</f>
        <v>4</v>
      </c>
      <c r="B683" s="63"/>
      <c r="C683" s="56">
        <f t="shared" si="77"/>
        <v>3</v>
      </c>
      <c r="D683" s="84"/>
      <c r="E683" s="79"/>
      <c r="F683" s="79" t="s">
        <v>1659</v>
      </c>
      <c r="G683" s="84"/>
      <c r="H683" s="87" t="s">
        <v>1660</v>
      </c>
      <c r="I683" s="108" t="s">
        <v>820</v>
      </c>
      <c r="J683" s="108" t="s">
        <v>1292</v>
      </c>
      <c r="K683" s="87"/>
      <c r="L683" s="87"/>
      <c r="M683" s="87"/>
      <c r="N683" s="87"/>
      <c r="O683" s="87"/>
      <c r="P683" s="87"/>
      <c r="Q683" s="87"/>
      <c r="R683" s="87"/>
      <c r="S683" s="87"/>
      <c r="T683" s="87"/>
      <c r="U683" s="323">
        <f>U$764</f>
        <v>-2</v>
      </c>
      <c r="V683" s="323">
        <f t="shared" si="87"/>
        <v>-2</v>
      </c>
      <c r="W683" s="323">
        <f t="shared" si="87"/>
        <v>-2</v>
      </c>
      <c r="X683" s="323">
        <f t="shared" si="87"/>
        <v>-2</v>
      </c>
      <c r="Y683" s="323">
        <f t="shared" si="87"/>
        <v>-2.0099999999999998</v>
      </c>
      <c r="Z683" s="323">
        <f t="shared" si="87"/>
        <v>-2.0099999999999998</v>
      </c>
      <c r="AA683" s="323">
        <f t="shared" si="87"/>
        <v>-2.0099999999999998</v>
      </c>
      <c r="AB683" s="323">
        <f t="shared" si="87"/>
        <v>-2.0099999999999998</v>
      </c>
      <c r="AC683" s="87"/>
      <c r="AD683" s="87"/>
      <c r="AE683" s="87"/>
      <c r="AF683" s="323">
        <f>AF$764</f>
        <v>1</v>
      </c>
      <c r="AG683" s="323">
        <f>AG$764</f>
        <v>1</v>
      </c>
      <c r="AH683" s="84"/>
      <c r="AI683" s="66"/>
      <c r="AJ683" s="54"/>
      <c r="AK683" s="54"/>
      <c r="AL683" s="54"/>
    </row>
    <row r="684" spans="1:38" outlineLevel="2" x14ac:dyDescent="0.25">
      <c r="A684" s="54"/>
      <c r="B684" s="63"/>
      <c r="C684" s="56">
        <f t="shared" si="77"/>
        <v>3</v>
      </c>
      <c r="D684" s="84"/>
      <c r="E684" s="79"/>
      <c r="F684" s="79" t="s">
        <v>1661</v>
      </c>
      <c r="G684" s="84"/>
      <c r="H684" s="87" t="s">
        <v>1662</v>
      </c>
      <c r="I684" s="108" t="s">
        <v>820</v>
      </c>
      <c r="J684" s="108" t="s">
        <v>1292</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9" t="s">
        <v>1483</v>
      </c>
      <c r="AE684" s="87"/>
      <c r="AF684" s="109">
        <v>1</v>
      </c>
      <c r="AG684" s="109">
        <v>1</v>
      </c>
      <c r="AH684" s="84"/>
      <c r="AI684" s="66"/>
      <c r="AJ684" s="54"/>
      <c r="AK684" s="54"/>
      <c r="AL684" s="54"/>
    </row>
    <row r="685" spans="1:38" outlineLevel="2" x14ac:dyDescent="0.25">
      <c r="A685" s="54"/>
      <c r="B685" s="63"/>
      <c r="C685" s="56">
        <f t="shared" si="77"/>
        <v>3</v>
      </c>
      <c r="D685" s="84"/>
      <c r="E685" s="79"/>
      <c r="F685" s="79" t="s">
        <v>1663</v>
      </c>
      <c r="G685" s="84"/>
      <c r="H685" s="87" t="s">
        <v>1664</v>
      </c>
      <c r="I685" s="108" t="s">
        <v>820</v>
      </c>
      <c r="J685" s="108" t="s">
        <v>1292</v>
      </c>
      <c r="K685" s="87"/>
      <c r="L685" s="87"/>
      <c r="M685" s="87"/>
      <c r="N685" s="87"/>
      <c r="O685" s="87"/>
      <c r="P685" s="87"/>
      <c r="Q685" s="87"/>
      <c r="R685" s="87"/>
      <c r="S685" s="87"/>
      <c r="T685" s="87"/>
      <c r="U685" s="109">
        <v>-4.9400000000000004</v>
      </c>
      <c r="V685" s="313">
        <f t="shared" ref="V685:AB685" si="88">U685</f>
        <v>-4.9400000000000004</v>
      </c>
      <c r="W685" s="313">
        <f t="shared" si="88"/>
        <v>-4.9400000000000004</v>
      </c>
      <c r="X685" s="313">
        <f t="shared" si="88"/>
        <v>-4.9400000000000004</v>
      </c>
      <c r="Y685" s="109">
        <v>-6.04</v>
      </c>
      <c r="Z685" s="313">
        <f t="shared" si="88"/>
        <v>-6.04</v>
      </c>
      <c r="AA685" s="313">
        <f t="shared" si="88"/>
        <v>-6.04</v>
      </c>
      <c r="AB685" s="313">
        <f t="shared" si="88"/>
        <v>-6.04</v>
      </c>
      <c r="AC685" s="87"/>
      <c r="AD685" s="109" t="s">
        <v>2421</v>
      </c>
      <c r="AE685" s="87"/>
      <c r="AF685" s="109">
        <v>1</v>
      </c>
      <c r="AG685" s="109">
        <v>1</v>
      </c>
      <c r="AH685" s="84"/>
      <c r="AI685" s="66"/>
      <c r="AJ685" s="54"/>
      <c r="AK685" s="54"/>
      <c r="AL685" s="54"/>
    </row>
    <row r="686" spans="1:38" outlineLevel="2" x14ac:dyDescent="0.25">
      <c r="A686" s="54"/>
      <c r="B686" s="63"/>
      <c r="C686" s="56">
        <f t="shared" si="77"/>
        <v>3</v>
      </c>
      <c r="D686" s="84"/>
      <c r="E686" s="79"/>
      <c r="F686" s="79" t="s">
        <v>1665</v>
      </c>
      <c r="G686" s="84"/>
      <c r="H686" s="87" t="s">
        <v>1666</v>
      </c>
      <c r="I686" s="108" t="s">
        <v>820</v>
      </c>
      <c r="J686" s="108" t="s">
        <v>1292</v>
      </c>
      <c r="K686" s="87"/>
      <c r="L686" s="87"/>
      <c r="M686" s="87"/>
      <c r="N686" s="87"/>
      <c r="O686" s="87"/>
      <c r="P686" s="87"/>
      <c r="Q686" s="87"/>
      <c r="R686" s="87"/>
      <c r="S686" s="87"/>
      <c r="T686" s="87"/>
      <c r="U686" s="323">
        <f t="shared" ref="U686:AB686" si="89">U685</f>
        <v>-4.9400000000000004</v>
      </c>
      <c r="V686" s="323">
        <f t="shared" si="89"/>
        <v>-4.9400000000000004</v>
      </c>
      <c r="W686" s="323">
        <f t="shared" si="89"/>
        <v>-4.9400000000000004</v>
      </c>
      <c r="X686" s="323">
        <f t="shared" si="89"/>
        <v>-4.9400000000000004</v>
      </c>
      <c r="Y686" s="109">
        <v>-9.49</v>
      </c>
      <c r="Z686" s="323">
        <f t="shared" si="89"/>
        <v>-6.04</v>
      </c>
      <c r="AA686" s="323">
        <f t="shared" si="89"/>
        <v>-6.04</v>
      </c>
      <c r="AB686" s="323">
        <f t="shared" si="89"/>
        <v>-6.04</v>
      </c>
      <c r="AC686" s="87"/>
      <c r="AD686" s="109" t="s">
        <v>1667</v>
      </c>
      <c r="AE686" s="87"/>
      <c r="AF686" s="109">
        <v>1</v>
      </c>
      <c r="AG686" s="109">
        <v>1</v>
      </c>
      <c r="AH686" s="84"/>
      <c r="AI686" s="66"/>
      <c r="AJ686" s="54"/>
      <c r="AK686" s="54"/>
      <c r="AL686" s="54"/>
    </row>
    <row r="687" spans="1:38" outlineLevel="2" x14ac:dyDescent="0.25">
      <c r="A687" s="54"/>
      <c r="B687" s="63"/>
      <c r="C687" s="56">
        <f t="shared" si="77"/>
        <v>3</v>
      </c>
      <c r="D687" s="84"/>
      <c r="E687" s="79"/>
      <c r="F687" s="79" t="s">
        <v>1668</v>
      </c>
      <c r="G687" s="84"/>
      <c r="H687" s="87" t="s">
        <v>1669</v>
      </c>
      <c r="I687" s="108" t="s">
        <v>820</v>
      </c>
      <c r="J687" s="108" t="s">
        <v>1292</v>
      </c>
      <c r="K687" s="87"/>
      <c r="L687" s="87"/>
      <c r="M687" s="87"/>
      <c r="N687" s="87"/>
      <c r="O687" s="87"/>
      <c r="P687" s="87"/>
      <c r="Q687" s="87"/>
      <c r="R687" s="87"/>
      <c r="S687" s="87"/>
      <c r="T687" s="87"/>
      <c r="U687" s="109">
        <v>-1.85</v>
      </c>
      <c r="V687" s="313">
        <f t="shared" ref="V687:AB687" si="90">U687</f>
        <v>-1.85</v>
      </c>
      <c r="W687" s="313">
        <f t="shared" si="90"/>
        <v>-1.85</v>
      </c>
      <c r="X687" s="313">
        <f t="shared" si="90"/>
        <v>-1.85</v>
      </c>
      <c r="Y687" s="323">
        <f>Y685</f>
        <v>-6.04</v>
      </c>
      <c r="Z687" s="313">
        <f t="shared" si="90"/>
        <v>-6.04</v>
      </c>
      <c r="AA687" s="313">
        <f t="shared" si="90"/>
        <v>-6.04</v>
      </c>
      <c r="AB687" s="313">
        <f t="shared" si="90"/>
        <v>-6.04</v>
      </c>
      <c r="AC687" s="87"/>
      <c r="AD687" s="109"/>
      <c r="AE687" s="87"/>
      <c r="AF687" s="109">
        <v>1</v>
      </c>
      <c r="AG687" s="109">
        <v>1</v>
      </c>
      <c r="AH687" s="84"/>
      <c r="AI687" s="66"/>
      <c r="AJ687" s="54"/>
      <c r="AK687" s="54"/>
      <c r="AL687" s="54"/>
    </row>
    <row r="688" spans="1:38" outlineLevel="2" x14ac:dyDescent="0.25">
      <c r="A688" s="54">
        <v>4</v>
      </c>
      <c r="B688" s="63"/>
      <c r="C688" s="56">
        <f t="shared" si="77"/>
        <v>3</v>
      </c>
      <c r="D688" s="84"/>
      <c r="E688" s="79"/>
      <c r="F688" s="79" t="s">
        <v>1670</v>
      </c>
      <c r="G688" s="84"/>
      <c r="H688" s="87" t="s">
        <v>1671</v>
      </c>
      <c r="I688" s="108" t="s">
        <v>820</v>
      </c>
      <c r="J688" s="108" t="s">
        <v>1292</v>
      </c>
      <c r="K688" s="87"/>
      <c r="L688" s="87"/>
      <c r="M688" s="87"/>
      <c r="N688" s="87"/>
      <c r="O688" s="87"/>
      <c r="P688" s="87"/>
      <c r="Q688" s="87"/>
      <c r="R688" s="87"/>
      <c r="S688" s="87"/>
      <c r="T688" s="87"/>
      <c r="U688" s="323">
        <f t="shared" ref="U688:AB688" si="91">U685</f>
        <v>-4.9400000000000004</v>
      </c>
      <c r="V688" s="323">
        <f t="shared" si="91"/>
        <v>-4.9400000000000004</v>
      </c>
      <c r="W688" s="323">
        <f t="shared" si="91"/>
        <v>-4.9400000000000004</v>
      </c>
      <c r="X688" s="323">
        <f t="shared" si="91"/>
        <v>-4.9400000000000004</v>
      </c>
      <c r="Y688" s="323">
        <f>Y686</f>
        <v>-9.49</v>
      </c>
      <c r="Z688" s="323">
        <f t="shared" si="91"/>
        <v>-6.04</v>
      </c>
      <c r="AA688" s="323">
        <f t="shared" si="91"/>
        <v>-6.04</v>
      </c>
      <c r="AB688" s="323">
        <f t="shared" si="91"/>
        <v>-6.04</v>
      </c>
      <c r="AC688" s="87"/>
      <c r="AD688" s="109"/>
      <c r="AE688" s="87"/>
      <c r="AF688" s="109">
        <v>1</v>
      </c>
      <c r="AG688" s="109">
        <v>1</v>
      </c>
      <c r="AH688" s="84"/>
      <c r="AI688" s="66"/>
      <c r="AJ688" s="54"/>
      <c r="AK688" s="54"/>
      <c r="AL688" s="54"/>
    </row>
    <row r="689" spans="1:38" outlineLevel="2" x14ac:dyDescent="0.25">
      <c r="A689" s="54">
        <f>A688</f>
        <v>4</v>
      </c>
      <c r="B689" s="63"/>
      <c r="C689" s="56">
        <f t="shared" si="77"/>
        <v>3</v>
      </c>
      <c r="D689" s="84"/>
      <c r="E689" s="79"/>
      <c r="F689" s="79" t="s">
        <v>1672</v>
      </c>
      <c r="G689" s="84"/>
      <c r="H689" s="87" t="s">
        <v>1673</v>
      </c>
      <c r="I689" s="108" t="s">
        <v>820</v>
      </c>
      <c r="J689" s="108" t="s">
        <v>1292</v>
      </c>
      <c r="K689" s="87"/>
      <c r="L689" s="87"/>
      <c r="M689" s="87"/>
      <c r="N689" s="87"/>
      <c r="O689" s="87"/>
      <c r="P689" s="87"/>
      <c r="Q689" s="87"/>
      <c r="R689" s="87"/>
      <c r="S689" s="87"/>
      <c r="T689" s="87"/>
      <c r="U689" s="323">
        <f t="shared" ref="U689:AB689" si="92">U687</f>
        <v>-1.85</v>
      </c>
      <c r="V689" s="323">
        <f t="shared" si="92"/>
        <v>-1.85</v>
      </c>
      <c r="W689" s="323">
        <f t="shared" si="92"/>
        <v>-1.85</v>
      </c>
      <c r="X689" s="323">
        <f t="shared" si="92"/>
        <v>-1.85</v>
      </c>
      <c r="Y689" s="323">
        <f>Y686</f>
        <v>-9.49</v>
      </c>
      <c r="Z689" s="323">
        <f t="shared" si="92"/>
        <v>-6.04</v>
      </c>
      <c r="AA689" s="323">
        <f t="shared" si="92"/>
        <v>-6.04</v>
      </c>
      <c r="AB689" s="323">
        <f t="shared" si="92"/>
        <v>-6.04</v>
      </c>
      <c r="AC689" s="87"/>
      <c r="AD689" s="109"/>
      <c r="AE689" s="87"/>
      <c r="AF689" s="109">
        <v>1</v>
      </c>
      <c r="AG689" s="109">
        <v>1</v>
      </c>
      <c r="AH689" s="84"/>
      <c r="AI689" s="66"/>
      <c r="AJ689" s="54"/>
      <c r="AK689" s="54"/>
      <c r="AL689" s="54"/>
    </row>
    <row r="690" spans="1:38" outlineLevel="2" x14ac:dyDescent="0.25">
      <c r="A690" s="54"/>
      <c r="B690" s="63"/>
      <c r="C690" s="56">
        <f t="shared" si="77"/>
        <v>3</v>
      </c>
      <c r="D690" s="84"/>
      <c r="E690" s="79"/>
      <c r="F690" s="79" t="s">
        <v>1674</v>
      </c>
      <c r="G690" s="84"/>
      <c r="H690" s="87" t="s">
        <v>1675</v>
      </c>
      <c r="I690" s="108" t="s">
        <v>820</v>
      </c>
      <c r="J690" s="108" t="s">
        <v>1292</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9" t="s">
        <v>1490</v>
      </c>
      <c r="AE690" s="87"/>
      <c r="AF690" s="109">
        <v>1</v>
      </c>
      <c r="AG690" s="109">
        <v>1</v>
      </c>
      <c r="AH690" s="84"/>
      <c r="AI690" s="66"/>
      <c r="AJ690" s="54"/>
      <c r="AK690" s="54"/>
      <c r="AL690" s="54"/>
    </row>
    <row r="691" spans="1:38" outlineLevel="2" x14ac:dyDescent="0.25">
      <c r="A691" s="54"/>
      <c r="B691" s="63"/>
      <c r="C691" s="56">
        <f t="shared" si="77"/>
        <v>3</v>
      </c>
      <c r="D691" s="84"/>
      <c r="E691" s="79"/>
      <c r="F691" s="79" t="s">
        <v>1676</v>
      </c>
      <c r="G691" s="84"/>
      <c r="H691" s="87" t="s">
        <v>1677</v>
      </c>
      <c r="I691" s="108" t="s">
        <v>820</v>
      </c>
      <c r="J691" s="108" t="s">
        <v>1292</v>
      </c>
      <c r="K691" s="87"/>
      <c r="L691" s="87"/>
      <c r="M691" s="87"/>
      <c r="N691" s="87"/>
      <c r="O691" s="87"/>
      <c r="P691" s="87"/>
      <c r="Q691" s="87"/>
      <c r="R691" s="87"/>
      <c r="S691" s="87"/>
      <c r="T691" s="87"/>
      <c r="U691" s="109">
        <f>-52.3/1000</f>
        <v>-5.2299999999999999E-2</v>
      </c>
      <c r="V691" s="313">
        <f t="shared" ref="V691:AB691" si="93">U691</f>
        <v>-5.2299999999999999E-2</v>
      </c>
      <c r="W691" s="313">
        <f t="shared" si="93"/>
        <v>-5.2299999999999999E-2</v>
      </c>
      <c r="X691" s="313">
        <f t="shared" si="93"/>
        <v>-5.2299999999999999E-2</v>
      </c>
      <c r="Y691" s="313">
        <f t="shared" si="93"/>
        <v>-5.2299999999999999E-2</v>
      </c>
      <c r="Z691" s="313">
        <f t="shared" si="93"/>
        <v>-5.2299999999999999E-2</v>
      </c>
      <c r="AA691" s="313">
        <f t="shared" si="93"/>
        <v>-5.2299999999999999E-2</v>
      </c>
      <c r="AB691" s="313">
        <f t="shared" si="93"/>
        <v>-5.2299999999999999E-2</v>
      </c>
      <c r="AC691" s="87"/>
      <c r="AD691" s="109"/>
      <c r="AE691" s="87"/>
      <c r="AF691" s="109">
        <v>1</v>
      </c>
      <c r="AG691" s="109">
        <v>1</v>
      </c>
      <c r="AH691" s="84"/>
      <c r="AI691" s="66"/>
      <c r="AJ691" s="54"/>
      <c r="AK691" s="54"/>
      <c r="AL691" s="54"/>
    </row>
    <row r="692" spans="1:38" outlineLevel="2" x14ac:dyDescent="0.25">
      <c r="A692" s="54"/>
      <c r="B692" s="63"/>
      <c r="C692" s="56">
        <f t="shared" si="77"/>
        <v>3</v>
      </c>
      <c r="D692" s="84"/>
      <c r="E692" s="79"/>
      <c r="F692" s="79" t="s">
        <v>1678</v>
      </c>
      <c r="G692" s="84"/>
      <c r="H692" s="87" t="s">
        <v>1679</v>
      </c>
      <c r="I692" s="108" t="s">
        <v>820</v>
      </c>
      <c r="J692" s="108" t="s">
        <v>1292</v>
      </c>
      <c r="K692" s="87"/>
      <c r="L692" s="87"/>
      <c r="M692" s="87"/>
      <c r="N692" s="87"/>
      <c r="O692" s="87"/>
      <c r="P692" s="87"/>
      <c r="Q692" s="87"/>
      <c r="R692" s="87"/>
      <c r="S692" s="87"/>
      <c r="T692" s="87"/>
      <c r="U692" s="323">
        <f t="shared" ref="U692:AB692" si="94">U691</f>
        <v>-5.2299999999999999E-2</v>
      </c>
      <c r="V692" s="323">
        <f t="shared" si="94"/>
        <v>-5.2299999999999999E-2</v>
      </c>
      <c r="W692" s="323">
        <f t="shared" si="94"/>
        <v>-5.2299999999999999E-2</v>
      </c>
      <c r="X692" s="323">
        <f t="shared" si="94"/>
        <v>-5.2299999999999999E-2</v>
      </c>
      <c r="Y692" s="323">
        <f t="shared" si="94"/>
        <v>-5.2299999999999999E-2</v>
      </c>
      <c r="Z692" s="323">
        <f t="shared" si="94"/>
        <v>-5.2299999999999999E-2</v>
      </c>
      <c r="AA692" s="323">
        <f t="shared" si="94"/>
        <v>-5.2299999999999999E-2</v>
      </c>
      <c r="AB692" s="323">
        <f t="shared" si="94"/>
        <v>-5.2299999999999999E-2</v>
      </c>
      <c r="AC692" s="87"/>
      <c r="AD692" s="109" t="s">
        <v>1667</v>
      </c>
      <c r="AE692" s="87"/>
      <c r="AF692" s="109">
        <v>1</v>
      </c>
      <c r="AG692" s="109">
        <v>1</v>
      </c>
      <c r="AH692" s="84"/>
      <c r="AI692" s="66"/>
      <c r="AJ692" s="54"/>
      <c r="AK692" s="54"/>
      <c r="AL692" s="54"/>
    </row>
    <row r="693" spans="1:38" outlineLevel="2" x14ac:dyDescent="0.25">
      <c r="A693" s="54"/>
      <c r="B693" s="63"/>
      <c r="C693" s="56">
        <f t="shared" si="77"/>
        <v>3</v>
      </c>
      <c r="D693" s="84"/>
      <c r="E693" s="79"/>
      <c r="F693" s="79" t="s">
        <v>1680</v>
      </c>
      <c r="G693" s="84"/>
      <c r="H693" s="87" t="s">
        <v>1681</v>
      </c>
      <c r="I693" s="108" t="s">
        <v>820</v>
      </c>
      <c r="J693" s="108" t="s">
        <v>1292</v>
      </c>
      <c r="K693" s="87"/>
      <c r="L693" s="87"/>
      <c r="M693" s="87"/>
      <c r="N693" s="87"/>
      <c r="O693" s="87"/>
      <c r="P693" s="87"/>
      <c r="Q693" s="87"/>
      <c r="R693" s="87"/>
      <c r="S693" s="87"/>
      <c r="T693" s="87"/>
      <c r="U693" s="109">
        <f>-10.7/1000</f>
        <v>-1.0699999999999999E-2</v>
      </c>
      <c r="V693" s="313">
        <f t="shared" ref="V693:AB693" si="95">U693</f>
        <v>-1.0699999999999999E-2</v>
      </c>
      <c r="W693" s="313">
        <f t="shared" si="95"/>
        <v>-1.0699999999999999E-2</v>
      </c>
      <c r="X693" s="313">
        <f t="shared" si="95"/>
        <v>-1.0699999999999999E-2</v>
      </c>
      <c r="Y693" s="313">
        <f t="shared" si="95"/>
        <v>-1.0699999999999999E-2</v>
      </c>
      <c r="Z693" s="313">
        <f t="shared" si="95"/>
        <v>-1.0699999999999999E-2</v>
      </c>
      <c r="AA693" s="313">
        <f t="shared" si="95"/>
        <v>-1.0699999999999999E-2</v>
      </c>
      <c r="AB693" s="313">
        <f t="shared" si="95"/>
        <v>-1.0699999999999999E-2</v>
      </c>
      <c r="AC693" s="87"/>
      <c r="AD693" s="109"/>
      <c r="AE693" s="87"/>
      <c r="AF693" s="109">
        <v>1</v>
      </c>
      <c r="AG693" s="109">
        <v>1</v>
      </c>
      <c r="AH693" s="84"/>
      <c r="AI693" s="66"/>
      <c r="AJ693" s="54"/>
      <c r="AK693" s="54"/>
      <c r="AL693" s="54"/>
    </row>
    <row r="694" spans="1:38" outlineLevel="2" x14ac:dyDescent="0.25">
      <c r="A694" s="54">
        <v>4</v>
      </c>
      <c r="B694" s="63"/>
      <c r="C694" s="56">
        <f t="shared" si="77"/>
        <v>3</v>
      </c>
      <c r="D694" s="84"/>
      <c r="E694" s="79"/>
      <c r="F694" s="79" t="s">
        <v>1682</v>
      </c>
      <c r="G694" s="84"/>
      <c r="H694" s="87" t="s">
        <v>1683</v>
      </c>
      <c r="I694" s="108" t="s">
        <v>820</v>
      </c>
      <c r="J694" s="108" t="s">
        <v>1292</v>
      </c>
      <c r="K694" s="87"/>
      <c r="L694" s="87"/>
      <c r="M694" s="87"/>
      <c r="N694" s="87"/>
      <c r="O694" s="87"/>
      <c r="P694" s="87"/>
      <c r="Q694" s="87"/>
      <c r="R694" s="87"/>
      <c r="S694" s="87"/>
      <c r="T694" s="87"/>
      <c r="U694" s="323">
        <f t="shared" ref="U694:AB695" si="96">U693</f>
        <v>-1.0699999999999999E-2</v>
      </c>
      <c r="V694" s="323">
        <f t="shared" si="96"/>
        <v>-1.0699999999999999E-2</v>
      </c>
      <c r="W694" s="323">
        <f t="shared" si="96"/>
        <v>-1.0699999999999999E-2</v>
      </c>
      <c r="X694" s="323">
        <f t="shared" si="96"/>
        <v>-1.0699999999999999E-2</v>
      </c>
      <c r="Y694" s="323">
        <f t="shared" si="96"/>
        <v>-1.0699999999999999E-2</v>
      </c>
      <c r="Z694" s="323">
        <f t="shared" si="96"/>
        <v>-1.0699999999999999E-2</v>
      </c>
      <c r="AA694" s="323">
        <f t="shared" si="96"/>
        <v>-1.0699999999999999E-2</v>
      </c>
      <c r="AB694" s="323">
        <f t="shared" si="96"/>
        <v>-1.0699999999999999E-2</v>
      </c>
      <c r="AC694" s="87"/>
      <c r="AD694" s="109"/>
      <c r="AE694" s="87"/>
      <c r="AF694" s="109">
        <v>1</v>
      </c>
      <c r="AG694" s="109">
        <v>1</v>
      </c>
      <c r="AH694" s="84"/>
      <c r="AI694" s="66"/>
      <c r="AJ694" s="54"/>
      <c r="AK694" s="54"/>
      <c r="AL694" s="54"/>
    </row>
    <row r="695" spans="1:38" outlineLevel="2" x14ac:dyDescent="0.25">
      <c r="A695" s="54">
        <f>A694</f>
        <v>4</v>
      </c>
      <c r="B695" s="63"/>
      <c r="C695" s="56">
        <f t="shared" si="77"/>
        <v>3</v>
      </c>
      <c r="D695" s="84"/>
      <c r="E695" s="79"/>
      <c r="F695" s="79" t="s">
        <v>1684</v>
      </c>
      <c r="G695" s="84"/>
      <c r="H695" s="87" t="s">
        <v>1685</v>
      </c>
      <c r="I695" s="108" t="s">
        <v>820</v>
      </c>
      <c r="J695" s="108" t="s">
        <v>1292</v>
      </c>
      <c r="K695" s="87"/>
      <c r="L695" s="87"/>
      <c r="M695" s="87"/>
      <c r="N695" s="87"/>
      <c r="O695" s="87"/>
      <c r="P695" s="87"/>
      <c r="Q695" s="87"/>
      <c r="R695" s="87"/>
      <c r="S695" s="87"/>
      <c r="T695" s="87"/>
      <c r="U695" s="323">
        <f>U694</f>
        <v>-1.0699999999999999E-2</v>
      </c>
      <c r="V695" s="323">
        <f t="shared" si="96"/>
        <v>-1.0699999999999999E-2</v>
      </c>
      <c r="W695" s="323">
        <f t="shared" si="96"/>
        <v>-1.0699999999999999E-2</v>
      </c>
      <c r="X695" s="323">
        <f t="shared" si="96"/>
        <v>-1.0699999999999999E-2</v>
      </c>
      <c r="Y695" s="323">
        <f t="shared" si="96"/>
        <v>-1.0699999999999999E-2</v>
      </c>
      <c r="Z695" s="323">
        <f t="shared" si="96"/>
        <v>-1.0699999999999999E-2</v>
      </c>
      <c r="AA695" s="323">
        <f t="shared" si="96"/>
        <v>-1.0699999999999999E-2</v>
      </c>
      <c r="AB695" s="323">
        <f t="shared" si="96"/>
        <v>-1.0699999999999999E-2</v>
      </c>
      <c r="AC695" s="87"/>
      <c r="AD695" s="109"/>
      <c r="AE695" s="87"/>
      <c r="AF695" s="109">
        <v>1</v>
      </c>
      <c r="AG695" s="109">
        <v>1</v>
      </c>
      <c r="AH695" s="84"/>
      <c r="AI695" s="66"/>
      <c r="AJ695" s="54"/>
      <c r="AK695" s="54"/>
      <c r="AL695" s="54"/>
    </row>
    <row r="696" spans="1:38" outlineLevel="1" x14ac:dyDescent="0.25">
      <c r="A696" s="54"/>
      <c r="B696" s="63"/>
      <c r="C696" s="56">
        <f>INT($C$40)+1</f>
        <v>2</v>
      </c>
      <c r="D696" s="84"/>
      <c r="E696" s="79"/>
      <c r="F696" s="314" t="s">
        <v>1686</v>
      </c>
      <c r="G696" s="84"/>
      <c r="H696" s="304" t="s">
        <v>1687</v>
      </c>
      <c r="I696" s="149"/>
      <c r="J696" s="149" t="s">
        <v>1192</v>
      </c>
      <c r="K696" s="87"/>
      <c r="L696" s="87"/>
      <c r="M696" s="87"/>
      <c r="N696" s="87"/>
      <c r="O696" s="87"/>
      <c r="P696" s="87"/>
      <c r="Q696" s="87"/>
      <c r="R696" s="87"/>
      <c r="S696" s="87"/>
      <c r="T696" s="87"/>
      <c r="U696" s="91">
        <v>20</v>
      </c>
      <c r="V696" s="91">
        <v>4</v>
      </c>
      <c r="W696" s="91">
        <v>-12</v>
      </c>
      <c r="X696" s="87"/>
      <c r="Y696" s="87"/>
      <c r="Z696" s="87"/>
      <c r="AA696" s="87"/>
      <c r="AB696" s="87"/>
      <c r="AC696" s="87"/>
      <c r="AD696" s="87"/>
      <c r="AE696" s="87"/>
      <c r="AF696" s="87"/>
      <c r="AG696" s="87"/>
      <c r="AH696" s="84"/>
      <c r="AI696" s="66"/>
      <c r="AJ696" s="54"/>
      <c r="AK696" s="54"/>
      <c r="AL696" s="54"/>
    </row>
    <row r="697" spans="1:38" hidden="1" outlineLevel="3" x14ac:dyDescent="0.25">
      <c r="A697" s="54"/>
      <c r="B697" s="63"/>
      <c r="C697" s="56">
        <f>INT($C$40)+3</f>
        <v>4</v>
      </c>
      <c r="D697" s="84"/>
      <c r="E697" s="79"/>
      <c r="F697" s="79" t="s">
        <v>1688</v>
      </c>
      <c r="G697" s="84"/>
      <c r="H697" s="87" t="s">
        <v>1689</v>
      </c>
      <c r="I697" s="108" t="s">
        <v>623</v>
      </c>
      <c r="J697" s="108"/>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25">
      <c r="A698" s="54"/>
      <c r="B698" s="63"/>
      <c r="C698" s="56">
        <f>INT($C$40)+3</f>
        <v>4</v>
      </c>
      <c r="D698" s="84"/>
      <c r="E698" s="79"/>
      <c r="F698" s="79" t="s">
        <v>1690</v>
      </c>
      <c r="G698" s="84"/>
      <c r="H698" s="87" t="s">
        <v>1691</v>
      </c>
      <c r="I698" s="108" t="s">
        <v>623</v>
      </c>
      <c r="J698" s="108"/>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1692</v>
      </c>
      <c r="G699" s="84"/>
      <c r="H699" s="87" t="s">
        <v>1693</v>
      </c>
      <c r="I699" s="108" t="s">
        <v>623</v>
      </c>
      <c r="J699" s="108"/>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1694</v>
      </c>
      <c r="G700" s="84"/>
      <c r="H700" s="87" t="s">
        <v>1695</v>
      </c>
      <c r="I700" s="108" t="s">
        <v>623</v>
      </c>
      <c r="J700" s="108"/>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7">INT($C$40)+2</f>
        <v>3</v>
      </c>
      <c r="D701" s="84"/>
      <c r="E701" s="79" t="s">
        <v>1128</v>
      </c>
      <c r="F701" s="79" t="s">
        <v>1696</v>
      </c>
      <c r="G701" s="84"/>
      <c r="H701" s="87" t="s">
        <v>1697</v>
      </c>
      <c r="I701" s="108" t="s">
        <v>623</v>
      </c>
      <c r="J701" s="108"/>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6" t="s">
        <v>1698</v>
      </c>
      <c r="AE701" s="87"/>
      <c r="AF701" s="87">
        <v>1</v>
      </c>
      <c r="AG701" s="87">
        <v>1</v>
      </c>
      <c r="AH701" s="84"/>
      <c r="AI701" s="66"/>
      <c r="AJ701" s="54"/>
      <c r="AK701" s="54"/>
      <c r="AL701" s="54"/>
    </row>
    <row r="702" spans="1:38" outlineLevel="2" x14ac:dyDescent="0.25">
      <c r="A702" s="54"/>
      <c r="B702" s="63"/>
      <c r="C702" s="56">
        <f t="shared" si="97"/>
        <v>3</v>
      </c>
      <c r="D702" s="84"/>
      <c r="E702" s="79"/>
      <c r="F702" s="79" t="s">
        <v>1699</v>
      </c>
      <c r="G702" s="84"/>
      <c r="H702" s="87" t="s">
        <v>1700</v>
      </c>
      <c r="I702" s="108" t="s">
        <v>623</v>
      </c>
      <c r="J702" s="108"/>
      <c r="K702" s="87"/>
      <c r="L702" s="87"/>
      <c r="M702" s="109">
        <v>0</v>
      </c>
      <c r="N702" s="109">
        <v>0</v>
      </c>
      <c r="O702" s="109">
        <v>0</v>
      </c>
      <c r="P702" s="109">
        <v>0</v>
      </c>
      <c r="Q702" s="87"/>
      <c r="R702" s="87"/>
      <c r="S702" s="109" t="s">
        <v>1701</v>
      </c>
      <c r="T702" s="87"/>
      <c r="U702" s="109">
        <v>0.23</v>
      </c>
      <c r="V702" s="109">
        <v>0.23</v>
      </c>
      <c r="W702" s="109">
        <v>0.23</v>
      </c>
      <c r="X702" s="109">
        <v>0.34</v>
      </c>
      <c r="Y702" s="109">
        <v>0.34</v>
      </c>
      <c r="Z702" s="109">
        <v>0.34</v>
      </c>
      <c r="AA702" s="109">
        <v>0.34</v>
      </c>
      <c r="AB702" s="109">
        <v>0.34</v>
      </c>
      <c r="AC702" s="87"/>
      <c r="AD702" s="109" t="s">
        <v>1702</v>
      </c>
      <c r="AE702" s="87"/>
      <c r="AF702" s="109">
        <v>1</v>
      </c>
      <c r="AG702" s="109">
        <v>1</v>
      </c>
      <c r="AH702" s="84"/>
      <c r="AI702" s="66"/>
      <c r="AJ702" s="54"/>
      <c r="AK702" s="54"/>
      <c r="AL702" s="54"/>
    </row>
    <row r="703" spans="1:38" outlineLevel="2" x14ac:dyDescent="0.25">
      <c r="A703" s="54"/>
      <c r="B703" s="63"/>
      <c r="C703" s="56">
        <f t="shared" si="97"/>
        <v>3</v>
      </c>
      <c r="D703" s="84"/>
      <c r="E703" s="79"/>
      <c r="F703" s="79" t="s">
        <v>1703</v>
      </c>
      <c r="G703" s="84"/>
      <c r="H703" s="87" t="s">
        <v>1704</v>
      </c>
      <c r="I703" s="108" t="s">
        <v>623</v>
      </c>
      <c r="J703" s="108"/>
      <c r="K703" s="87"/>
      <c r="L703" s="87"/>
      <c r="M703" s="87"/>
      <c r="N703" s="87"/>
      <c r="O703" s="87"/>
      <c r="P703" s="87"/>
      <c r="Q703" s="87"/>
      <c r="R703" s="87"/>
      <c r="S703" s="87"/>
      <c r="T703" s="87"/>
      <c r="U703" s="109">
        <v>0.39</v>
      </c>
      <c r="V703" s="109">
        <v>0.39</v>
      </c>
      <c r="W703" s="109">
        <v>0.39</v>
      </c>
      <c r="X703" s="109">
        <v>0.64</v>
      </c>
      <c r="Y703" s="109">
        <v>0.64</v>
      </c>
      <c r="Z703" s="109">
        <v>0.64</v>
      </c>
      <c r="AA703" s="109">
        <v>0.64</v>
      </c>
      <c r="AB703" s="109">
        <v>0.64</v>
      </c>
      <c r="AC703" s="87"/>
      <c r="AD703" s="109" t="s">
        <v>1702</v>
      </c>
      <c r="AE703" s="87"/>
      <c r="AF703" s="109">
        <v>1</v>
      </c>
      <c r="AG703" s="109">
        <v>1</v>
      </c>
      <c r="AH703" s="84"/>
      <c r="AI703" s="66"/>
      <c r="AJ703" s="54"/>
      <c r="AK703" s="54"/>
      <c r="AL703" s="54"/>
    </row>
    <row r="704" spans="1:38" outlineLevel="2" x14ac:dyDescent="0.25">
      <c r="A704" s="54"/>
      <c r="B704" s="63"/>
      <c r="C704" s="56">
        <f t="shared" si="97"/>
        <v>3</v>
      </c>
      <c r="D704" s="84"/>
      <c r="E704" s="79"/>
      <c r="F704" s="79" t="s">
        <v>1705</v>
      </c>
      <c r="G704" s="84"/>
      <c r="H704" s="87" t="s">
        <v>1706</v>
      </c>
      <c r="I704" s="108" t="s">
        <v>623</v>
      </c>
      <c r="J704" s="108"/>
      <c r="K704" s="87"/>
      <c r="L704" s="87"/>
      <c r="M704" s="87"/>
      <c r="N704" s="87"/>
      <c r="O704" s="87"/>
      <c r="P704" s="87"/>
      <c r="Q704" s="87"/>
      <c r="R704" s="87"/>
      <c r="S704" s="87"/>
      <c r="T704" s="87"/>
      <c r="U704" s="109">
        <v>0.39</v>
      </c>
      <c r="V704" s="109">
        <v>0.39</v>
      </c>
      <c r="W704" s="109">
        <v>0.39</v>
      </c>
      <c r="X704" s="109">
        <v>0.64</v>
      </c>
      <c r="Y704" s="109">
        <v>0.64</v>
      </c>
      <c r="Z704" s="109">
        <v>0.64</v>
      </c>
      <c r="AA704" s="109">
        <v>0.64</v>
      </c>
      <c r="AB704" s="109">
        <v>0.64</v>
      </c>
      <c r="AC704" s="87"/>
      <c r="AD704" s="109" t="s">
        <v>1170</v>
      </c>
      <c r="AE704" s="87"/>
      <c r="AF704" s="109">
        <v>1</v>
      </c>
      <c r="AG704" s="109">
        <v>1</v>
      </c>
      <c r="AH704" s="84"/>
      <c r="AI704" s="66"/>
      <c r="AJ704" s="54"/>
      <c r="AK704" s="54"/>
      <c r="AL704" s="54"/>
    </row>
    <row r="705" spans="1:38" outlineLevel="2" x14ac:dyDescent="0.25">
      <c r="A705" s="54"/>
      <c r="B705" s="63"/>
      <c r="C705" s="56">
        <f t="shared" si="97"/>
        <v>3</v>
      </c>
      <c r="D705" s="84"/>
      <c r="E705" s="79" t="s">
        <v>1707</v>
      </c>
      <c r="F705" s="79" t="s">
        <v>1708</v>
      </c>
      <c r="G705" s="84"/>
      <c r="H705" s="87" t="s">
        <v>1709</v>
      </c>
      <c r="I705" s="108" t="s">
        <v>623</v>
      </c>
      <c r="J705" s="108"/>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6" t="s">
        <v>1698</v>
      </c>
      <c r="AE705" s="87"/>
      <c r="AF705" s="87">
        <v>1</v>
      </c>
      <c r="AG705" s="87">
        <v>1</v>
      </c>
      <c r="AH705" s="84"/>
      <c r="AI705" s="66"/>
      <c r="AJ705" s="54"/>
      <c r="AK705" s="54"/>
      <c r="AL705" s="54"/>
    </row>
    <row r="706" spans="1:38" outlineLevel="2" x14ac:dyDescent="0.25">
      <c r="A706" s="54"/>
      <c r="B706" s="63"/>
      <c r="C706" s="56">
        <f t="shared" si="97"/>
        <v>3</v>
      </c>
      <c r="D706" s="84"/>
      <c r="E706" s="79"/>
      <c r="F706" s="79" t="s">
        <v>1710</v>
      </c>
      <c r="G706" s="84"/>
      <c r="H706" s="87" t="s">
        <v>1711</v>
      </c>
      <c r="I706" s="108" t="s">
        <v>623</v>
      </c>
      <c r="J706" s="108"/>
      <c r="K706" s="87"/>
      <c r="L706" s="87"/>
      <c r="M706" s="109">
        <v>0.5</v>
      </c>
      <c r="N706" s="109">
        <v>0.5</v>
      </c>
      <c r="O706" s="109">
        <v>0.5</v>
      </c>
      <c r="P706" s="109">
        <v>0.5</v>
      </c>
      <c r="Q706" s="87"/>
      <c r="R706" s="87"/>
      <c r="S706" s="109" t="s">
        <v>1712</v>
      </c>
      <c r="T706" s="87"/>
      <c r="U706" s="109">
        <v>-0.62</v>
      </c>
      <c r="V706" s="109">
        <v>-0.62</v>
      </c>
      <c r="W706" s="109">
        <v>-0.62</v>
      </c>
      <c r="X706" s="109">
        <v>0.18</v>
      </c>
      <c r="Y706" s="109">
        <v>0.18</v>
      </c>
      <c r="Z706" s="109">
        <v>0.18</v>
      </c>
      <c r="AA706" s="109">
        <v>0.18</v>
      </c>
      <c r="AB706" s="109">
        <v>0.18</v>
      </c>
      <c r="AC706" s="87"/>
      <c r="AD706" s="109" t="s">
        <v>1702</v>
      </c>
      <c r="AE706" s="87"/>
      <c r="AF706" s="109">
        <v>1</v>
      </c>
      <c r="AG706" s="109">
        <v>1</v>
      </c>
      <c r="AH706" s="84"/>
      <c r="AI706" s="66"/>
      <c r="AJ706" s="54"/>
      <c r="AK706" s="54"/>
      <c r="AL706" s="54"/>
    </row>
    <row r="707" spans="1:38" outlineLevel="2" x14ac:dyDescent="0.25">
      <c r="A707" s="54"/>
      <c r="B707" s="63"/>
      <c r="C707" s="56">
        <f t="shared" si="97"/>
        <v>3</v>
      </c>
      <c r="D707" s="84"/>
      <c r="E707" s="79"/>
      <c r="F707" s="79" t="s">
        <v>1713</v>
      </c>
      <c r="G707" s="84"/>
      <c r="H707" s="87" t="s">
        <v>1714</v>
      </c>
      <c r="I707" s="108" t="s">
        <v>623</v>
      </c>
      <c r="J707" s="108"/>
      <c r="K707" s="87"/>
      <c r="L707" s="87"/>
      <c r="M707" s="87"/>
      <c r="N707" s="87"/>
      <c r="O707" s="87"/>
      <c r="P707" s="87"/>
      <c r="Q707" s="87"/>
      <c r="R707" s="87"/>
      <c r="S707" s="87"/>
      <c r="T707" s="87"/>
      <c r="U707" s="109">
        <v>0.22</v>
      </c>
      <c r="V707" s="109">
        <v>0.22</v>
      </c>
      <c r="W707" s="109">
        <v>0.22</v>
      </c>
      <c r="X707" s="109">
        <v>0.52</v>
      </c>
      <c r="Y707" s="109">
        <v>0.52</v>
      </c>
      <c r="Z707" s="109">
        <v>0.52</v>
      </c>
      <c r="AA707" s="109">
        <v>0.52</v>
      </c>
      <c r="AB707" s="109">
        <v>0.52</v>
      </c>
      <c r="AC707" s="87"/>
      <c r="AD707" s="109" t="s">
        <v>1702</v>
      </c>
      <c r="AE707" s="87"/>
      <c r="AF707" s="109">
        <v>1</v>
      </c>
      <c r="AG707" s="109">
        <v>1</v>
      </c>
      <c r="AH707" s="84"/>
      <c r="AI707" s="66"/>
      <c r="AJ707" s="54"/>
      <c r="AK707" s="54"/>
      <c r="AL707" s="54"/>
    </row>
    <row r="708" spans="1:38" outlineLevel="2" x14ac:dyDescent="0.25">
      <c r="A708" s="54"/>
      <c r="B708" s="63"/>
      <c r="C708" s="56">
        <f t="shared" si="97"/>
        <v>3</v>
      </c>
      <c r="D708" s="84"/>
      <c r="E708" s="79"/>
      <c r="F708" s="79" t="s">
        <v>1715</v>
      </c>
      <c r="G708" s="84"/>
      <c r="H708" s="87" t="s">
        <v>1716</v>
      </c>
      <c r="I708" s="108" t="s">
        <v>623</v>
      </c>
      <c r="J708" s="108"/>
      <c r="K708" s="87"/>
      <c r="L708" s="87"/>
      <c r="M708" s="87"/>
      <c r="N708" s="87"/>
      <c r="O708" s="87"/>
      <c r="P708" s="87"/>
      <c r="Q708" s="87"/>
      <c r="R708" s="87"/>
      <c r="S708" s="87"/>
      <c r="T708" s="87"/>
      <c r="U708" s="109">
        <v>3.6549999999999998</v>
      </c>
      <c r="V708" s="109">
        <v>3.6549999999999998</v>
      </c>
      <c r="W708" s="109">
        <v>3.6549999999999998</v>
      </c>
      <c r="X708" s="109">
        <v>1.4500000000000002</v>
      </c>
      <c r="Y708" s="109">
        <v>1.4500000000000002</v>
      </c>
      <c r="Z708" s="109">
        <v>1.4500000000000002</v>
      </c>
      <c r="AA708" s="109">
        <v>1.4500000000000002</v>
      </c>
      <c r="AB708" s="109">
        <v>1.4500000000000002</v>
      </c>
      <c r="AC708" s="87"/>
      <c r="AD708" s="109" t="s">
        <v>1717</v>
      </c>
      <c r="AE708" s="87"/>
      <c r="AF708" s="109">
        <v>1</v>
      </c>
      <c r="AG708" s="109">
        <v>1</v>
      </c>
      <c r="AH708" s="84"/>
      <c r="AI708" s="66"/>
      <c r="AJ708" s="54"/>
      <c r="AK708" s="54"/>
      <c r="AL708" s="54"/>
    </row>
    <row r="709" spans="1:38" outlineLevel="2" x14ac:dyDescent="0.25">
      <c r="A709" s="54"/>
      <c r="B709" s="63"/>
      <c r="C709" s="56">
        <f t="shared" si="97"/>
        <v>3</v>
      </c>
      <c r="D709" s="84"/>
      <c r="E709" s="79" t="s">
        <v>1718</v>
      </c>
      <c r="F709" s="79" t="s">
        <v>1719</v>
      </c>
      <c r="G709" s="84"/>
      <c r="H709" s="87" t="s">
        <v>1720</v>
      </c>
      <c r="I709" s="108" t="s">
        <v>623</v>
      </c>
      <c r="J709" s="108"/>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6" t="s">
        <v>1698</v>
      </c>
      <c r="AE709" s="87"/>
      <c r="AF709" s="87">
        <v>1</v>
      </c>
      <c r="AG709" s="87">
        <v>1</v>
      </c>
      <c r="AH709" s="84"/>
      <c r="AI709" s="66"/>
      <c r="AJ709" s="54"/>
      <c r="AK709" s="54"/>
      <c r="AL709" s="54"/>
    </row>
    <row r="710" spans="1:38" outlineLevel="2" x14ac:dyDescent="0.25">
      <c r="A710" s="54"/>
      <c r="B710" s="63"/>
      <c r="C710" s="56">
        <f t="shared" si="97"/>
        <v>3</v>
      </c>
      <c r="D710" s="84"/>
      <c r="E710" s="79"/>
      <c r="F710" s="79" t="s">
        <v>1721</v>
      </c>
      <c r="G710" s="84"/>
      <c r="H710" s="87" t="s">
        <v>1711</v>
      </c>
      <c r="I710" s="108" t="s">
        <v>623</v>
      </c>
      <c r="J710" s="108"/>
      <c r="K710" s="87"/>
      <c r="L710" s="87"/>
      <c r="M710" s="109">
        <v>1</v>
      </c>
      <c r="N710" s="109">
        <v>1</v>
      </c>
      <c r="O710" s="109">
        <v>1</v>
      </c>
      <c r="P710" s="109">
        <v>1</v>
      </c>
      <c r="Q710" s="87"/>
      <c r="R710" s="87"/>
      <c r="S710" s="109" t="s">
        <v>1712</v>
      </c>
      <c r="T710" s="87"/>
      <c r="U710" s="109">
        <v>1.9</v>
      </c>
      <c r="V710" s="109">
        <v>1.9</v>
      </c>
      <c r="W710" s="109">
        <v>1.9</v>
      </c>
      <c r="X710" s="109">
        <v>1.33</v>
      </c>
      <c r="Y710" s="109">
        <v>1.33</v>
      </c>
      <c r="Z710" s="109">
        <v>1.33</v>
      </c>
      <c r="AA710" s="109">
        <v>1.33</v>
      </c>
      <c r="AB710" s="109">
        <v>1.33</v>
      </c>
      <c r="AC710" s="87"/>
      <c r="AD710" s="109" t="s">
        <v>1702</v>
      </c>
      <c r="AE710" s="87"/>
      <c r="AF710" s="109">
        <v>1</v>
      </c>
      <c r="AG710" s="109">
        <v>1</v>
      </c>
      <c r="AH710" s="84"/>
      <c r="AI710" s="66"/>
      <c r="AJ710" s="54"/>
      <c r="AK710" s="54"/>
      <c r="AL710" s="54"/>
    </row>
    <row r="711" spans="1:38" outlineLevel="2" x14ac:dyDescent="0.25">
      <c r="A711" s="54"/>
      <c r="B711" s="63"/>
      <c r="C711" s="56">
        <f t="shared" si="97"/>
        <v>3</v>
      </c>
      <c r="D711" s="84"/>
      <c r="E711" s="79"/>
      <c r="F711" s="79" t="s">
        <v>1722</v>
      </c>
      <c r="G711" s="84"/>
      <c r="H711" s="87" t="s">
        <v>1714</v>
      </c>
      <c r="I711" s="108" t="s">
        <v>623</v>
      </c>
      <c r="J711" s="108"/>
      <c r="K711" s="87"/>
      <c r="L711" s="87"/>
      <c r="M711" s="87"/>
      <c r="N711" s="87"/>
      <c r="O711" s="87"/>
      <c r="P711" s="87"/>
      <c r="Q711" s="87"/>
      <c r="R711" s="87"/>
      <c r="S711" s="87"/>
      <c r="T711" s="87"/>
      <c r="U711" s="109">
        <v>2.41</v>
      </c>
      <c r="V711" s="109">
        <v>2.41</v>
      </c>
      <c r="W711" s="109">
        <v>2.41</v>
      </c>
      <c r="X711" s="109">
        <v>1.35</v>
      </c>
      <c r="Y711" s="109">
        <v>1.35</v>
      </c>
      <c r="Z711" s="109">
        <v>1.35</v>
      </c>
      <c r="AA711" s="109">
        <v>1.35</v>
      </c>
      <c r="AB711" s="109">
        <v>1.35</v>
      </c>
      <c r="AC711" s="87"/>
      <c r="AD711" s="109" t="s">
        <v>1702</v>
      </c>
      <c r="AE711" s="87"/>
      <c r="AF711" s="109">
        <v>1</v>
      </c>
      <c r="AG711" s="109">
        <v>1</v>
      </c>
      <c r="AH711" s="84"/>
      <c r="AI711" s="66"/>
      <c r="AJ711" s="54"/>
      <c r="AK711" s="54"/>
      <c r="AL711" s="54"/>
    </row>
    <row r="712" spans="1:38" outlineLevel="2" x14ac:dyDescent="0.25">
      <c r="A712" s="54"/>
      <c r="B712" s="63"/>
      <c r="C712" s="56">
        <f t="shared" si="97"/>
        <v>3</v>
      </c>
      <c r="D712" s="84"/>
      <c r="E712" s="79"/>
      <c r="F712" s="79" t="s">
        <v>1723</v>
      </c>
      <c r="G712" s="84"/>
      <c r="H712" s="87" t="s">
        <v>1716</v>
      </c>
      <c r="I712" s="108" t="s">
        <v>623</v>
      </c>
      <c r="J712" s="108"/>
      <c r="K712" s="87"/>
      <c r="L712" s="87"/>
      <c r="M712" s="87"/>
      <c r="N712" s="87"/>
      <c r="O712" s="87"/>
      <c r="P712" s="87"/>
      <c r="Q712" s="87"/>
      <c r="R712" s="87"/>
      <c r="S712" s="87"/>
      <c r="T712" s="87"/>
      <c r="U712" s="109">
        <v>10</v>
      </c>
      <c r="V712" s="109">
        <v>10</v>
      </c>
      <c r="W712" s="109">
        <v>10</v>
      </c>
      <c r="X712" s="109">
        <v>8.5500000000000007</v>
      </c>
      <c r="Y712" s="109">
        <v>8.5500000000000007</v>
      </c>
      <c r="Z712" s="109">
        <v>8.5500000000000007</v>
      </c>
      <c r="AA712" s="109">
        <v>8.5500000000000007</v>
      </c>
      <c r="AB712" s="109">
        <v>8.5500000000000007</v>
      </c>
      <c r="AC712" s="87"/>
      <c r="AD712" s="109" t="s">
        <v>1717</v>
      </c>
      <c r="AE712" s="87"/>
      <c r="AF712" s="109">
        <v>1</v>
      </c>
      <c r="AG712" s="109">
        <v>1</v>
      </c>
      <c r="AH712" s="84"/>
      <c r="AI712" s="66"/>
      <c r="AJ712" s="54"/>
      <c r="AK712" s="54"/>
      <c r="AL712" s="54"/>
    </row>
    <row r="713" spans="1:38" outlineLevel="2" x14ac:dyDescent="0.25">
      <c r="A713" s="54"/>
      <c r="B713" s="63"/>
      <c r="C713" s="56">
        <f t="shared" si="97"/>
        <v>3</v>
      </c>
      <c r="D713" s="84"/>
      <c r="E713" s="79" t="s">
        <v>1724</v>
      </c>
      <c r="F713" s="79" t="s">
        <v>1725</v>
      </c>
      <c r="G713" s="84"/>
      <c r="H713" s="87" t="s">
        <v>1726</v>
      </c>
      <c r="I713" s="108"/>
      <c r="J713" s="108"/>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6" t="s">
        <v>1727</v>
      </c>
      <c r="AE713" s="87"/>
      <c r="AF713" s="87">
        <v>1</v>
      </c>
      <c r="AG713" s="87">
        <v>1</v>
      </c>
      <c r="AH713" s="84"/>
      <c r="AI713" s="66"/>
      <c r="AJ713" s="54"/>
      <c r="AK713" s="54"/>
      <c r="AL713" s="54"/>
    </row>
    <row r="714" spans="1:38" outlineLevel="2" x14ac:dyDescent="0.25">
      <c r="A714" s="54"/>
      <c r="B714" s="63"/>
      <c r="C714" s="56">
        <f t="shared" si="97"/>
        <v>3</v>
      </c>
      <c r="D714" s="84"/>
      <c r="E714" s="79"/>
      <c r="F714" s="79" t="s">
        <v>1728</v>
      </c>
      <c r="G714" s="84"/>
      <c r="H714" s="87" t="s">
        <v>1729</v>
      </c>
      <c r="I714" s="108"/>
      <c r="J714" s="108"/>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6" t="s">
        <v>1727</v>
      </c>
      <c r="AE714" s="87"/>
      <c r="AF714" s="109">
        <v>1</v>
      </c>
      <c r="AG714" s="109">
        <v>1</v>
      </c>
      <c r="AH714" s="84"/>
      <c r="AI714" s="66"/>
      <c r="AJ714" s="54"/>
      <c r="AK714" s="54"/>
      <c r="AL714" s="54"/>
    </row>
    <row r="715" spans="1:38" outlineLevel="2" x14ac:dyDescent="0.25">
      <c r="A715" s="54"/>
      <c r="B715" s="63"/>
      <c r="C715" s="56">
        <f t="shared" si="97"/>
        <v>3</v>
      </c>
      <c r="D715" s="84"/>
      <c r="E715" s="79"/>
      <c r="F715" s="79" t="s">
        <v>1730</v>
      </c>
      <c r="G715" s="84"/>
      <c r="H715" s="87" t="s">
        <v>1731</v>
      </c>
      <c r="I715" s="108" t="s">
        <v>1732</v>
      </c>
      <c r="J715" s="108"/>
      <c r="K715" s="87"/>
      <c r="L715" s="87"/>
      <c r="M715" s="87"/>
      <c r="N715" s="87"/>
      <c r="O715" s="87"/>
      <c r="P715" s="87"/>
      <c r="Q715" s="87"/>
      <c r="R715" s="87"/>
      <c r="S715" s="87"/>
      <c r="T715" s="87"/>
      <c r="U715" s="109">
        <f>0.2-(0.2944/2)</f>
        <v>5.2800000000000014E-2</v>
      </c>
      <c r="V715" s="109">
        <f t="shared" ref="V715:AB716" si="98">0.2-(0.2944/2)</f>
        <v>5.2800000000000014E-2</v>
      </c>
      <c r="W715" s="109">
        <f t="shared" si="98"/>
        <v>5.2800000000000014E-2</v>
      </c>
      <c r="X715" s="109">
        <f t="shared" si="98"/>
        <v>5.2800000000000014E-2</v>
      </c>
      <c r="Y715" s="109">
        <f t="shared" si="98"/>
        <v>5.2800000000000014E-2</v>
      </c>
      <c r="Z715" s="109">
        <f t="shared" si="98"/>
        <v>5.2800000000000014E-2</v>
      </c>
      <c r="AA715" s="109">
        <f t="shared" si="98"/>
        <v>5.2800000000000014E-2</v>
      </c>
      <c r="AB715" s="109">
        <f t="shared" si="98"/>
        <v>5.2800000000000014E-2</v>
      </c>
      <c r="AC715" s="87"/>
      <c r="AD715" s="109" t="s">
        <v>1733</v>
      </c>
      <c r="AE715" s="87"/>
      <c r="AF715" s="109">
        <v>1</v>
      </c>
      <c r="AG715" s="109">
        <v>1</v>
      </c>
      <c r="AH715" s="84"/>
      <c r="AI715" s="66"/>
      <c r="AJ715" s="54"/>
      <c r="AK715" s="54"/>
      <c r="AL715" s="54"/>
    </row>
    <row r="716" spans="1:38" outlineLevel="2" x14ac:dyDescent="0.25">
      <c r="A716" s="54"/>
      <c r="B716" s="63"/>
      <c r="C716" s="56">
        <f t="shared" si="97"/>
        <v>3</v>
      </c>
      <c r="D716" s="84"/>
      <c r="E716" s="79"/>
      <c r="F716" s="79" t="s">
        <v>1734</v>
      </c>
      <c r="G716" s="84"/>
      <c r="H716" s="87" t="s">
        <v>1735</v>
      </c>
      <c r="I716" s="108" t="s">
        <v>1732</v>
      </c>
      <c r="J716" s="108"/>
      <c r="K716" s="87"/>
      <c r="L716" s="87"/>
      <c r="M716" s="87"/>
      <c r="N716" s="87"/>
      <c r="O716" s="87"/>
      <c r="P716" s="87"/>
      <c r="Q716" s="87"/>
      <c r="R716" s="87"/>
      <c r="S716" s="87"/>
      <c r="T716" s="87"/>
      <c r="U716" s="109">
        <f>0.2-(0.2944/2)</f>
        <v>5.2800000000000014E-2</v>
      </c>
      <c r="V716" s="109">
        <f t="shared" si="98"/>
        <v>5.2800000000000014E-2</v>
      </c>
      <c r="W716" s="109">
        <f t="shared" si="98"/>
        <v>5.2800000000000014E-2</v>
      </c>
      <c r="X716" s="109">
        <f t="shared" si="98"/>
        <v>5.2800000000000014E-2</v>
      </c>
      <c r="Y716" s="109">
        <f t="shared" si="98"/>
        <v>5.2800000000000014E-2</v>
      </c>
      <c r="Z716" s="109">
        <f t="shared" si="98"/>
        <v>5.2800000000000014E-2</v>
      </c>
      <c r="AA716" s="109">
        <f t="shared" si="98"/>
        <v>5.2800000000000014E-2</v>
      </c>
      <c r="AB716" s="109">
        <f t="shared" si="98"/>
        <v>5.2800000000000014E-2</v>
      </c>
      <c r="AC716" s="87"/>
      <c r="AD716" s="109" t="s">
        <v>1736</v>
      </c>
      <c r="AE716" s="87"/>
      <c r="AF716" s="109">
        <v>1</v>
      </c>
      <c r="AG716" s="109">
        <v>1</v>
      </c>
      <c r="AH716" s="84"/>
      <c r="AI716" s="66"/>
      <c r="AJ716" s="54"/>
      <c r="AK716" s="54"/>
      <c r="AL716" s="54"/>
    </row>
    <row r="717" spans="1:38" outlineLevel="2" x14ac:dyDescent="0.25">
      <c r="A717" s="54"/>
      <c r="B717" s="63"/>
      <c r="C717" s="56">
        <f t="shared" si="97"/>
        <v>3</v>
      </c>
      <c r="D717" s="84"/>
      <c r="E717" s="79" t="s">
        <v>1737</v>
      </c>
      <c r="F717" s="79" t="s">
        <v>1738</v>
      </c>
      <c r="G717" s="84"/>
      <c r="H717" s="87" t="s">
        <v>1739</v>
      </c>
      <c r="I717" s="108"/>
      <c r="J717" s="108"/>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6" t="s">
        <v>1727</v>
      </c>
      <c r="AE717" s="87"/>
      <c r="AF717" s="87">
        <v>1</v>
      </c>
      <c r="AG717" s="87">
        <v>1</v>
      </c>
      <c r="AH717" s="84"/>
      <c r="AI717" s="66"/>
      <c r="AJ717" s="54"/>
      <c r="AK717" s="54"/>
      <c r="AL717" s="54"/>
    </row>
    <row r="718" spans="1:38" outlineLevel="2" x14ac:dyDescent="0.25">
      <c r="A718" s="54"/>
      <c r="B718" s="63"/>
      <c r="C718" s="56">
        <f t="shared" si="97"/>
        <v>3</v>
      </c>
      <c r="D718" s="84"/>
      <c r="E718" s="79"/>
      <c r="F718" s="79" t="s">
        <v>1740</v>
      </c>
      <c r="G718" s="84"/>
      <c r="H718" s="87" t="s">
        <v>1729</v>
      </c>
      <c r="I718" s="108"/>
      <c r="J718" s="108"/>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6" t="s">
        <v>1727</v>
      </c>
      <c r="AE718" s="87"/>
      <c r="AF718" s="109">
        <v>1</v>
      </c>
      <c r="AG718" s="109">
        <v>1</v>
      </c>
      <c r="AH718" s="84"/>
      <c r="AI718" s="66"/>
      <c r="AJ718" s="54"/>
      <c r="AK718" s="54"/>
      <c r="AL718" s="54"/>
    </row>
    <row r="719" spans="1:38" outlineLevel="2" x14ac:dyDescent="0.25">
      <c r="A719" s="54"/>
      <c r="B719" s="63"/>
      <c r="C719" s="56">
        <f t="shared" si="97"/>
        <v>3</v>
      </c>
      <c r="D719" s="84"/>
      <c r="E719" s="79"/>
      <c r="F719" s="79" t="s">
        <v>1741</v>
      </c>
      <c r="G719" s="84"/>
      <c r="H719" s="87" t="s">
        <v>1731</v>
      </c>
      <c r="I719" s="108" t="s">
        <v>1732</v>
      </c>
      <c r="J719" s="108"/>
      <c r="K719" s="87"/>
      <c r="L719" s="87"/>
      <c r="M719" s="87"/>
      <c r="N719" s="87"/>
      <c r="O719" s="87"/>
      <c r="P719" s="87"/>
      <c r="Q719" s="87"/>
      <c r="R719" s="87"/>
      <c r="S719" s="87"/>
      <c r="T719" s="87"/>
      <c r="U719" s="109">
        <f>0.2+(0.2944/2)</f>
        <v>0.34720000000000001</v>
      </c>
      <c r="V719" s="109">
        <f t="shared" ref="V719:AB720" si="99">0.2+(0.2944/2)</f>
        <v>0.34720000000000001</v>
      </c>
      <c r="W719" s="109">
        <f t="shared" si="99"/>
        <v>0.34720000000000001</v>
      </c>
      <c r="X719" s="109">
        <f t="shared" si="99"/>
        <v>0.34720000000000001</v>
      </c>
      <c r="Y719" s="109">
        <f t="shared" si="99"/>
        <v>0.34720000000000001</v>
      </c>
      <c r="Z719" s="109">
        <f t="shared" si="99"/>
        <v>0.34720000000000001</v>
      </c>
      <c r="AA719" s="109">
        <f t="shared" si="99"/>
        <v>0.34720000000000001</v>
      </c>
      <c r="AB719" s="109">
        <f t="shared" si="99"/>
        <v>0.34720000000000001</v>
      </c>
      <c r="AC719" s="87"/>
      <c r="AD719" s="109"/>
      <c r="AE719" s="87"/>
      <c r="AF719" s="109">
        <v>1</v>
      </c>
      <c r="AG719" s="109">
        <v>1</v>
      </c>
      <c r="AH719" s="84"/>
      <c r="AI719" s="66"/>
      <c r="AJ719" s="54"/>
      <c r="AK719" s="54"/>
      <c r="AL719" s="54"/>
    </row>
    <row r="720" spans="1:38" outlineLevel="2" x14ac:dyDescent="0.25">
      <c r="A720" s="54"/>
      <c r="B720" s="63"/>
      <c r="C720" s="56">
        <f t="shared" si="97"/>
        <v>3</v>
      </c>
      <c r="D720" s="84"/>
      <c r="E720" s="79"/>
      <c r="F720" s="79" t="s">
        <v>1742</v>
      </c>
      <c r="G720" s="84"/>
      <c r="H720" s="87" t="s">
        <v>1735</v>
      </c>
      <c r="I720" s="108" t="s">
        <v>1732</v>
      </c>
      <c r="J720" s="108"/>
      <c r="K720" s="87"/>
      <c r="L720" s="87"/>
      <c r="M720" s="87"/>
      <c r="N720" s="87"/>
      <c r="O720" s="87"/>
      <c r="P720" s="87"/>
      <c r="Q720" s="87"/>
      <c r="R720" s="87"/>
      <c r="S720" s="87"/>
      <c r="T720" s="87"/>
      <c r="U720" s="109">
        <f>0.2+(0.2944/2)</f>
        <v>0.34720000000000001</v>
      </c>
      <c r="V720" s="109">
        <f t="shared" si="99"/>
        <v>0.34720000000000001</v>
      </c>
      <c r="W720" s="109">
        <f t="shared" si="99"/>
        <v>0.34720000000000001</v>
      </c>
      <c r="X720" s="109">
        <f t="shared" si="99"/>
        <v>0.34720000000000001</v>
      </c>
      <c r="Y720" s="109">
        <f t="shared" si="99"/>
        <v>0.34720000000000001</v>
      </c>
      <c r="Z720" s="109">
        <f t="shared" si="99"/>
        <v>0.34720000000000001</v>
      </c>
      <c r="AA720" s="109">
        <f t="shared" si="99"/>
        <v>0.34720000000000001</v>
      </c>
      <c r="AB720" s="109">
        <f t="shared" si="99"/>
        <v>0.34720000000000001</v>
      </c>
      <c r="AC720" s="87"/>
      <c r="AD720" s="109"/>
      <c r="AE720" s="87"/>
      <c r="AF720" s="109">
        <v>1</v>
      </c>
      <c r="AG720" s="109">
        <v>1</v>
      </c>
      <c r="AH720" s="84"/>
      <c r="AI720" s="66"/>
      <c r="AJ720" s="54"/>
      <c r="AK720" s="54"/>
      <c r="AL720" s="54"/>
    </row>
    <row r="721" spans="1:38" outlineLevel="2" x14ac:dyDescent="0.25">
      <c r="A721" s="54"/>
      <c r="B721" s="63"/>
      <c r="C721" s="56">
        <f t="shared" si="97"/>
        <v>3</v>
      </c>
      <c r="D721" s="84"/>
      <c r="E721" s="79" t="s">
        <v>1743</v>
      </c>
      <c r="F721" s="79" t="s">
        <v>1744</v>
      </c>
      <c r="G721" s="84"/>
      <c r="H721" s="87" t="s">
        <v>1745</v>
      </c>
      <c r="I721" s="108" t="s">
        <v>623</v>
      </c>
      <c r="J721" s="108"/>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6" t="s">
        <v>1727</v>
      </c>
      <c r="AE721" s="87"/>
      <c r="AF721" s="87">
        <v>1</v>
      </c>
      <c r="AG721" s="87">
        <v>1</v>
      </c>
      <c r="AH721" s="84"/>
      <c r="AI721" s="66"/>
      <c r="AJ721" s="54"/>
      <c r="AK721" s="54"/>
      <c r="AL721" s="54"/>
    </row>
    <row r="722" spans="1:38" outlineLevel="2" x14ac:dyDescent="0.25">
      <c r="A722" s="54"/>
      <c r="B722" s="63"/>
      <c r="C722" s="56">
        <f t="shared" si="97"/>
        <v>3</v>
      </c>
      <c r="D722" s="84"/>
      <c r="E722" s="79"/>
      <c r="F722" s="79" t="s">
        <v>1746</v>
      </c>
      <c r="G722" s="84"/>
      <c r="H722" s="87" t="s">
        <v>1729</v>
      </c>
      <c r="I722" s="108" t="s">
        <v>623</v>
      </c>
      <c r="J722" s="108"/>
      <c r="K722" s="87"/>
      <c r="L722" s="87"/>
      <c r="M722" s="87"/>
      <c r="N722" s="87"/>
      <c r="O722" s="87"/>
      <c r="P722" s="87"/>
      <c r="Q722" s="87"/>
      <c r="R722" s="87"/>
      <c r="S722" s="87"/>
      <c r="T722" s="87"/>
      <c r="U722" s="109">
        <v>1.1000000000000001</v>
      </c>
      <c r="V722" s="109">
        <v>1.1000000000000001</v>
      </c>
      <c r="W722" s="109">
        <v>1.1000000000000001</v>
      </c>
      <c r="X722" s="109">
        <v>1.1000000000000001</v>
      </c>
      <c r="Y722" s="109">
        <v>1.1000000000000001</v>
      </c>
      <c r="Z722" s="109">
        <v>1.1000000000000001</v>
      </c>
      <c r="AA722" s="109">
        <v>1.1000000000000001</v>
      </c>
      <c r="AB722" s="109">
        <v>1.1000000000000001</v>
      </c>
      <c r="AC722" s="87"/>
      <c r="AD722" s="109" t="s">
        <v>1702</v>
      </c>
      <c r="AE722" s="87"/>
      <c r="AF722" s="109">
        <v>1</v>
      </c>
      <c r="AG722" s="109">
        <v>1</v>
      </c>
      <c r="AH722" s="84"/>
      <c r="AI722" s="66"/>
      <c r="AJ722" s="54"/>
      <c r="AK722" s="54"/>
      <c r="AL722" s="54"/>
    </row>
    <row r="723" spans="1:38" outlineLevel="2" x14ac:dyDescent="0.25">
      <c r="A723" s="54"/>
      <c r="B723" s="63"/>
      <c r="C723" s="56">
        <f t="shared" si="97"/>
        <v>3</v>
      </c>
      <c r="D723" s="84"/>
      <c r="E723" s="79"/>
      <c r="F723" s="79" t="s">
        <v>1747</v>
      </c>
      <c r="G723" s="84"/>
      <c r="H723" s="87" t="s">
        <v>1731</v>
      </c>
      <c r="I723" s="108" t="s">
        <v>623</v>
      </c>
      <c r="J723" s="108"/>
      <c r="K723" s="87"/>
      <c r="L723" s="87"/>
      <c r="M723" s="87"/>
      <c r="N723" s="87"/>
      <c r="O723" s="87"/>
      <c r="P723" s="87"/>
      <c r="Q723" s="87"/>
      <c r="R723" s="87"/>
      <c r="S723" s="87"/>
      <c r="T723" s="87"/>
      <c r="U723" s="109">
        <v>1.1000000000000001</v>
      </c>
      <c r="V723" s="109">
        <v>1.1000000000000001</v>
      </c>
      <c r="W723" s="109">
        <v>1.1000000000000001</v>
      </c>
      <c r="X723" s="109">
        <v>1.1000000000000001</v>
      </c>
      <c r="Y723" s="109">
        <v>1.1000000000000001</v>
      </c>
      <c r="Z723" s="109">
        <v>1.1000000000000001</v>
      </c>
      <c r="AA723" s="109">
        <v>1.1000000000000001</v>
      </c>
      <c r="AB723" s="109">
        <v>1.1000000000000001</v>
      </c>
      <c r="AC723" s="87"/>
      <c r="AD723" s="109" t="s">
        <v>1702</v>
      </c>
      <c r="AE723" s="87"/>
      <c r="AF723" s="109">
        <v>1</v>
      </c>
      <c r="AG723" s="109">
        <v>1</v>
      </c>
      <c r="AH723" s="84"/>
      <c r="AI723" s="66"/>
      <c r="AJ723" s="54"/>
      <c r="AK723" s="54"/>
      <c r="AL723" s="54"/>
    </row>
    <row r="724" spans="1:38" outlineLevel="2" x14ac:dyDescent="0.25">
      <c r="A724" s="54"/>
      <c r="B724" s="63"/>
      <c r="C724" s="56">
        <f t="shared" si="97"/>
        <v>3</v>
      </c>
      <c r="D724" s="84"/>
      <c r="E724" s="79"/>
      <c r="F724" s="79" t="s">
        <v>1748</v>
      </c>
      <c r="G724" s="84"/>
      <c r="H724" s="87" t="s">
        <v>1735</v>
      </c>
      <c r="I724" s="108" t="s">
        <v>623</v>
      </c>
      <c r="J724" s="108"/>
      <c r="K724" s="87"/>
      <c r="L724" s="87"/>
      <c r="M724" s="87"/>
      <c r="N724" s="87"/>
      <c r="O724" s="87"/>
      <c r="P724" s="87"/>
      <c r="Q724" s="87"/>
      <c r="R724" s="87"/>
      <c r="S724" s="87"/>
      <c r="T724" s="87"/>
      <c r="U724" s="109">
        <v>1.1000000000000001</v>
      </c>
      <c r="V724" s="109">
        <v>1.1000000000000001</v>
      </c>
      <c r="W724" s="109">
        <v>1.1000000000000001</v>
      </c>
      <c r="X724" s="109">
        <v>1.1000000000000001</v>
      </c>
      <c r="Y724" s="109">
        <v>1.1000000000000001</v>
      </c>
      <c r="Z724" s="109">
        <v>1.1000000000000001</v>
      </c>
      <c r="AA724" s="109">
        <v>1.1000000000000001</v>
      </c>
      <c r="AB724" s="109">
        <v>1.1000000000000001</v>
      </c>
      <c r="AC724" s="87"/>
      <c r="AD724" s="109" t="s">
        <v>1702</v>
      </c>
      <c r="AE724" s="87"/>
      <c r="AF724" s="109">
        <v>1</v>
      </c>
      <c r="AG724" s="109">
        <v>1</v>
      </c>
      <c r="AH724" s="84"/>
      <c r="AI724" s="66"/>
      <c r="AJ724" s="54"/>
      <c r="AK724" s="54"/>
      <c r="AL724" s="54"/>
    </row>
    <row r="725" spans="1:38" outlineLevel="2" x14ac:dyDescent="0.25">
      <c r="A725" s="54"/>
      <c r="B725" s="63"/>
      <c r="C725" s="56">
        <f t="shared" si="97"/>
        <v>3</v>
      </c>
      <c r="D725" s="84"/>
      <c r="E725" s="79" t="s">
        <v>1749</v>
      </c>
      <c r="F725" s="79" t="s">
        <v>1750</v>
      </c>
      <c r="G725" s="84"/>
      <c r="H725" s="87" t="s">
        <v>1739</v>
      </c>
      <c r="I725" s="108" t="s">
        <v>623</v>
      </c>
      <c r="J725" s="108"/>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6" t="s">
        <v>1727</v>
      </c>
      <c r="AE725" s="87"/>
      <c r="AF725" s="87">
        <v>1</v>
      </c>
      <c r="AG725" s="87">
        <v>1</v>
      </c>
      <c r="AH725" s="84"/>
      <c r="AI725" s="66"/>
      <c r="AJ725" s="54"/>
      <c r="AK725" s="54"/>
      <c r="AL725" s="54"/>
    </row>
    <row r="726" spans="1:38" outlineLevel="2" x14ac:dyDescent="0.25">
      <c r="A726" s="54"/>
      <c r="B726" s="63"/>
      <c r="C726" s="56">
        <f t="shared" si="97"/>
        <v>3</v>
      </c>
      <c r="D726" s="84"/>
      <c r="E726" s="79"/>
      <c r="F726" s="79" t="s">
        <v>1751</v>
      </c>
      <c r="G726" s="84"/>
      <c r="H726" s="87" t="s">
        <v>1729</v>
      </c>
      <c r="I726" s="108" t="s">
        <v>623</v>
      </c>
      <c r="J726" s="108"/>
      <c r="K726" s="87"/>
      <c r="L726" s="87"/>
      <c r="M726" s="87"/>
      <c r="N726" s="87"/>
      <c r="O726" s="87"/>
      <c r="P726" s="87"/>
      <c r="Q726" s="87"/>
      <c r="R726" s="87"/>
      <c r="S726" s="87"/>
      <c r="T726" s="87"/>
      <c r="U726" s="109">
        <v>1.7</v>
      </c>
      <c r="V726" s="109">
        <v>1.7</v>
      </c>
      <c r="W726" s="109">
        <v>1.7</v>
      </c>
      <c r="X726" s="109">
        <v>1.7</v>
      </c>
      <c r="Y726" s="109">
        <v>1.7</v>
      </c>
      <c r="Z726" s="109">
        <v>1.7</v>
      </c>
      <c r="AA726" s="109">
        <v>1.7</v>
      </c>
      <c r="AB726" s="109">
        <v>1.7</v>
      </c>
      <c r="AC726" s="87"/>
      <c r="AD726" s="109" t="s">
        <v>1702</v>
      </c>
      <c r="AE726" s="87"/>
      <c r="AF726" s="109">
        <v>1</v>
      </c>
      <c r="AG726" s="109">
        <v>1</v>
      </c>
      <c r="AH726" s="84"/>
      <c r="AI726" s="66"/>
      <c r="AJ726" s="54"/>
      <c r="AK726" s="54"/>
      <c r="AL726" s="54"/>
    </row>
    <row r="727" spans="1:38" outlineLevel="2" x14ac:dyDescent="0.25">
      <c r="A727" s="54"/>
      <c r="B727" s="63"/>
      <c r="C727" s="56">
        <f t="shared" si="97"/>
        <v>3</v>
      </c>
      <c r="D727" s="84"/>
      <c r="E727" s="79"/>
      <c r="F727" s="79" t="s">
        <v>1752</v>
      </c>
      <c r="G727" s="84"/>
      <c r="H727" s="87" t="s">
        <v>1731</v>
      </c>
      <c r="I727" s="108" t="s">
        <v>623</v>
      </c>
      <c r="J727" s="108"/>
      <c r="K727" s="87"/>
      <c r="L727" s="87"/>
      <c r="M727" s="87"/>
      <c r="N727" s="87"/>
      <c r="O727" s="87"/>
      <c r="P727" s="87"/>
      <c r="Q727" s="87"/>
      <c r="R727" s="87"/>
      <c r="S727" s="87"/>
      <c r="T727" s="87"/>
      <c r="U727" s="109">
        <v>1.7</v>
      </c>
      <c r="V727" s="109">
        <v>1.7</v>
      </c>
      <c r="W727" s="109">
        <v>1.7</v>
      </c>
      <c r="X727" s="109">
        <v>1.7</v>
      </c>
      <c r="Y727" s="109">
        <v>1.7</v>
      </c>
      <c r="Z727" s="109">
        <v>1.7</v>
      </c>
      <c r="AA727" s="109">
        <v>1.7</v>
      </c>
      <c r="AB727" s="109">
        <v>1.7</v>
      </c>
      <c r="AC727" s="87"/>
      <c r="AD727" s="109" t="s">
        <v>1702</v>
      </c>
      <c r="AE727" s="87"/>
      <c r="AF727" s="109">
        <v>1</v>
      </c>
      <c r="AG727" s="109">
        <v>1</v>
      </c>
      <c r="AH727" s="84"/>
      <c r="AI727" s="66"/>
      <c r="AJ727" s="54"/>
      <c r="AK727" s="54"/>
      <c r="AL727" s="54"/>
    </row>
    <row r="728" spans="1:38" outlineLevel="2" x14ac:dyDescent="0.25">
      <c r="A728" s="54"/>
      <c r="B728" s="63"/>
      <c r="C728" s="56">
        <f t="shared" si="97"/>
        <v>3</v>
      </c>
      <c r="D728" s="84"/>
      <c r="E728" s="79"/>
      <c r="F728" s="79" t="s">
        <v>1753</v>
      </c>
      <c r="G728" s="84"/>
      <c r="H728" s="87" t="s">
        <v>1735</v>
      </c>
      <c r="I728" s="108" t="s">
        <v>623</v>
      </c>
      <c r="J728" s="108"/>
      <c r="K728" s="87"/>
      <c r="L728" s="87"/>
      <c r="M728" s="87"/>
      <c r="N728" s="87"/>
      <c r="O728" s="87"/>
      <c r="P728" s="87"/>
      <c r="Q728" s="87"/>
      <c r="R728" s="87"/>
      <c r="S728" s="87"/>
      <c r="T728" s="87"/>
      <c r="U728" s="109">
        <v>1.7</v>
      </c>
      <c r="V728" s="109">
        <v>1.7</v>
      </c>
      <c r="W728" s="109">
        <v>1.7</v>
      </c>
      <c r="X728" s="109">
        <v>1.7</v>
      </c>
      <c r="Y728" s="109">
        <v>1.7</v>
      </c>
      <c r="Z728" s="109">
        <v>1.7</v>
      </c>
      <c r="AA728" s="109">
        <v>1.7</v>
      </c>
      <c r="AB728" s="109">
        <v>1.7</v>
      </c>
      <c r="AC728" s="87"/>
      <c r="AD728" s="109" t="s">
        <v>1702</v>
      </c>
      <c r="AE728" s="87"/>
      <c r="AF728" s="109">
        <v>1</v>
      </c>
      <c r="AG728" s="109">
        <v>1</v>
      </c>
      <c r="AH728" s="84"/>
      <c r="AI728" s="66"/>
      <c r="AJ728" s="54"/>
      <c r="AK728" s="54"/>
      <c r="AL728" s="54"/>
    </row>
    <row r="729" spans="1:38" outlineLevel="2" x14ac:dyDescent="0.25">
      <c r="A729" s="54"/>
      <c r="B729" s="63"/>
      <c r="C729" s="56">
        <f t="shared" si="97"/>
        <v>3</v>
      </c>
      <c r="D729" s="84"/>
      <c r="E729" s="79"/>
      <c r="F729" s="79" t="s">
        <v>1754</v>
      </c>
      <c r="G729" s="84"/>
      <c r="H729" s="87" t="s">
        <v>1755</v>
      </c>
      <c r="I729" s="108" t="s">
        <v>623</v>
      </c>
      <c r="J729" s="108"/>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1756</v>
      </c>
      <c r="G730" s="84"/>
      <c r="H730" s="87" t="s">
        <v>1757</v>
      </c>
      <c r="I730" s="108" t="s">
        <v>623</v>
      </c>
      <c r="J730" s="108"/>
      <c r="K730" s="87"/>
      <c r="L730" s="87"/>
      <c r="M730" s="87"/>
      <c r="N730" s="87"/>
      <c r="O730" s="87"/>
      <c r="P730" s="87"/>
      <c r="Q730" s="87"/>
      <c r="R730" s="87"/>
      <c r="S730" s="87"/>
      <c r="T730" s="87"/>
      <c r="U730" s="109">
        <v>0</v>
      </c>
      <c r="V730" s="109">
        <v>0</v>
      </c>
      <c r="W730" s="109">
        <v>0</v>
      </c>
      <c r="X730" s="313">
        <f t="shared" ref="X730:AB731" si="100">W730</f>
        <v>0</v>
      </c>
      <c r="Y730" s="313">
        <f t="shared" si="100"/>
        <v>0</v>
      </c>
      <c r="Z730" s="313">
        <f t="shared" si="100"/>
        <v>0</v>
      </c>
      <c r="AA730" s="313">
        <f t="shared" si="100"/>
        <v>0</v>
      </c>
      <c r="AB730" s="313">
        <f t="shared" si="100"/>
        <v>0</v>
      </c>
      <c r="AC730" s="87"/>
      <c r="AD730" s="109" t="s">
        <v>1758</v>
      </c>
      <c r="AE730" s="87"/>
      <c r="AF730" s="109">
        <v>1</v>
      </c>
      <c r="AG730" s="109">
        <v>1</v>
      </c>
      <c r="AH730" s="84"/>
      <c r="AI730" s="66"/>
      <c r="AJ730" s="54"/>
      <c r="AK730" s="54"/>
      <c r="AL730" s="54"/>
    </row>
    <row r="731" spans="1:38" outlineLevel="2" x14ac:dyDescent="0.25">
      <c r="A731" s="54"/>
      <c r="B731" s="63"/>
      <c r="C731" s="56">
        <f t="shared" si="97"/>
        <v>3</v>
      </c>
      <c r="D731" s="84"/>
      <c r="E731" s="79"/>
      <c r="F731" s="79" t="s">
        <v>1759</v>
      </c>
      <c r="G731" s="84"/>
      <c r="H731" s="87" t="s">
        <v>1760</v>
      </c>
      <c r="I731" s="108" t="s">
        <v>623</v>
      </c>
      <c r="J731" s="108"/>
      <c r="K731" s="87"/>
      <c r="L731" s="87"/>
      <c r="M731" s="87"/>
      <c r="N731" s="87"/>
      <c r="O731" s="87"/>
      <c r="P731" s="87"/>
      <c r="Q731" s="87"/>
      <c r="R731" s="87"/>
      <c r="S731" s="87"/>
      <c r="T731" s="87"/>
      <c r="U731" s="109">
        <v>-0.48270000000000002</v>
      </c>
      <c r="V731" s="109">
        <v>-0.48270000000000002</v>
      </c>
      <c r="W731" s="109">
        <v>-0.48270000000000002</v>
      </c>
      <c r="X731" s="313">
        <f t="shared" si="100"/>
        <v>-0.48270000000000002</v>
      </c>
      <c r="Y731" s="313">
        <f t="shared" si="100"/>
        <v>-0.48270000000000002</v>
      </c>
      <c r="Z731" s="313">
        <f t="shared" si="100"/>
        <v>-0.48270000000000002</v>
      </c>
      <c r="AA731" s="313">
        <f t="shared" si="100"/>
        <v>-0.48270000000000002</v>
      </c>
      <c r="AB731" s="313">
        <f t="shared" si="100"/>
        <v>-0.48270000000000002</v>
      </c>
      <c r="AC731" s="87"/>
      <c r="AD731" s="87"/>
      <c r="AE731" s="87"/>
      <c r="AF731" s="109">
        <v>1</v>
      </c>
      <c r="AG731" s="109">
        <v>1</v>
      </c>
      <c r="AH731" s="84"/>
      <c r="AI731" s="66"/>
      <c r="AJ731" s="54"/>
      <c r="AK731" s="54"/>
      <c r="AL731" s="54"/>
    </row>
    <row r="732" spans="1:38" outlineLevel="2" x14ac:dyDescent="0.25">
      <c r="A732" s="54"/>
      <c r="B732" s="63"/>
      <c r="C732" s="56">
        <f t="shared" si="97"/>
        <v>3</v>
      </c>
      <c r="D732" s="84"/>
      <c r="E732" s="79"/>
      <c r="F732" s="79" t="s">
        <v>1761</v>
      </c>
      <c r="G732" s="84"/>
      <c r="H732" s="87" t="s">
        <v>1762</v>
      </c>
      <c r="I732" s="108" t="s">
        <v>623</v>
      </c>
      <c r="J732" s="108"/>
      <c r="K732" s="87"/>
      <c r="L732" s="87"/>
      <c r="M732" s="87"/>
      <c r="N732" s="87"/>
      <c r="O732" s="87"/>
      <c r="P732" s="87"/>
      <c r="Q732" s="87"/>
      <c r="R732" s="87"/>
      <c r="S732" s="87"/>
      <c r="T732" s="87"/>
      <c r="U732" s="311">
        <f>U731</f>
        <v>-0.48270000000000002</v>
      </c>
      <c r="V732" s="311">
        <f t="shared" ref="V732:AB732" si="101">V731</f>
        <v>-0.48270000000000002</v>
      </c>
      <c r="W732" s="311">
        <f t="shared" si="101"/>
        <v>-0.48270000000000002</v>
      </c>
      <c r="X732" s="311">
        <f t="shared" si="101"/>
        <v>-0.48270000000000002</v>
      </c>
      <c r="Y732" s="311">
        <f t="shared" si="101"/>
        <v>-0.48270000000000002</v>
      </c>
      <c r="Z732" s="311">
        <f t="shared" si="101"/>
        <v>-0.48270000000000002</v>
      </c>
      <c r="AA732" s="311">
        <f t="shared" si="101"/>
        <v>-0.48270000000000002</v>
      </c>
      <c r="AB732" s="311">
        <f t="shared" si="101"/>
        <v>-0.48270000000000002</v>
      </c>
      <c r="AC732" s="87"/>
      <c r="AD732" s="87" t="s">
        <v>1763</v>
      </c>
      <c r="AE732" s="87"/>
      <c r="AF732" s="109">
        <v>1</v>
      </c>
      <c r="AG732" s="109">
        <v>1</v>
      </c>
      <c r="AH732" s="84"/>
      <c r="AI732" s="66"/>
      <c r="AJ732" s="54"/>
      <c r="AK732" s="54"/>
      <c r="AL732" s="54"/>
    </row>
    <row r="733" spans="1:38" outlineLevel="2" x14ac:dyDescent="0.25">
      <c r="A733" s="54"/>
      <c r="B733" s="63"/>
      <c r="C733" s="56">
        <f t="shared" si="97"/>
        <v>3</v>
      </c>
      <c r="D733" s="84"/>
      <c r="E733" s="79"/>
      <c r="F733" s="79" t="s">
        <v>1764</v>
      </c>
      <c r="G733" s="84"/>
      <c r="H733" s="87" t="s">
        <v>2414</v>
      </c>
      <c r="I733" s="108" t="s">
        <v>623</v>
      </c>
      <c r="J733" s="108"/>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7"/>
        <v>3</v>
      </c>
      <c r="D734" s="84"/>
      <c r="E734" s="79"/>
      <c r="F734" s="79" t="s">
        <v>1765</v>
      </c>
      <c r="G734" s="84"/>
      <c r="H734" s="87" t="s">
        <v>2415</v>
      </c>
      <c r="I734" s="108" t="s">
        <v>623</v>
      </c>
      <c r="J734" s="108"/>
      <c r="K734" s="87"/>
      <c r="L734" s="87"/>
      <c r="M734" s="87"/>
      <c r="N734" s="87"/>
      <c r="O734" s="87"/>
      <c r="P734" s="87"/>
      <c r="Q734" s="87"/>
      <c r="R734" s="87"/>
      <c r="S734" s="87"/>
      <c r="T734" s="87"/>
      <c r="U734" s="109">
        <v>4.75</v>
      </c>
      <c r="V734" s="109">
        <v>4.75</v>
      </c>
      <c r="W734" s="109">
        <v>4.75</v>
      </c>
      <c r="X734" s="313">
        <f t="shared" ref="X734:AB735" si="102">W734</f>
        <v>4.75</v>
      </c>
      <c r="Y734" s="313">
        <f t="shared" si="102"/>
        <v>4.75</v>
      </c>
      <c r="Z734" s="313">
        <f t="shared" si="102"/>
        <v>4.75</v>
      </c>
      <c r="AA734" s="313">
        <f t="shared" si="102"/>
        <v>4.75</v>
      </c>
      <c r="AB734" s="313">
        <f t="shared" si="102"/>
        <v>4.75</v>
      </c>
      <c r="AC734" s="87"/>
      <c r="AD734" s="109" t="s">
        <v>2424</v>
      </c>
      <c r="AE734" s="87"/>
      <c r="AF734" s="87">
        <v>1</v>
      </c>
      <c r="AG734" s="87">
        <v>1</v>
      </c>
      <c r="AH734" s="84"/>
      <c r="AI734" s="66"/>
      <c r="AJ734" s="54"/>
      <c r="AK734" s="54"/>
      <c r="AL734" s="54"/>
    </row>
    <row r="735" spans="1:38" outlineLevel="2" x14ac:dyDescent="0.25">
      <c r="A735" s="54"/>
      <c r="B735" s="63"/>
      <c r="C735" s="56">
        <f t="shared" si="97"/>
        <v>3</v>
      </c>
      <c r="D735" s="84"/>
      <c r="E735" s="79"/>
      <c r="F735" s="79" t="s">
        <v>1766</v>
      </c>
      <c r="G735" s="84"/>
      <c r="H735" s="87" t="s">
        <v>2416</v>
      </c>
      <c r="I735" s="108" t="s">
        <v>623</v>
      </c>
      <c r="J735" s="108"/>
      <c r="K735" s="87"/>
      <c r="L735" s="87"/>
      <c r="M735" s="87"/>
      <c r="N735" s="87"/>
      <c r="O735" s="87"/>
      <c r="P735" s="87"/>
      <c r="Q735" s="87"/>
      <c r="R735" s="87"/>
      <c r="S735" s="87"/>
      <c r="T735" s="87"/>
      <c r="U735" s="109">
        <v>1.5</v>
      </c>
      <c r="V735" s="109">
        <v>1.5</v>
      </c>
      <c r="W735" s="109">
        <v>1.5</v>
      </c>
      <c r="X735" s="313">
        <f t="shared" si="102"/>
        <v>1.5</v>
      </c>
      <c r="Y735" s="313">
        <f t="shared" si="102"/>
        <v>1.5</v>
      </c>
      <c r="Z735" s="313">
        <f t="shared" si="102"/>
        <v>1.5</v>
      </c>
      <c r="AA735" s="313">
        <f t="shared" si="102"/>
        <v>1.5</v>
      </c>
      <c r="AB735" s="313">
        <f t="shared" si="102"/>
        <v>1.5</v>
      </c>
      <c r="AC735" s="87"/>
      <c r="AD735" s="87"/>
      <c r="AE735" s="87"/>
      <c r="AF735" s="87">
        <v>1</v>
      </c>
      <c r="AG735" s="87">
        <v>1</v>
      </c>
      <c r="AH735" s="84"/>
      <c r="AI735" s="66"/>
      <c r="AJ735" s="54"/>
      <c r="AK735" s="54"/>
      <c r="AL735" s="54"/>
    </row>
    <row r="736" spans="1:38" outlineLevel="2" collapsed="1" x14ac:dyDescent="0.25">
      <c r="A736" s="54"/>
      <c r="B736" s="63"/>
      <c r="C736" s="56">
        <f t="shared" ref="C736:C740" si="103">INT($C$40)+3</f>
        <v>4</v>
      </c>
      <c r="D736" s="84"/>
      <c r="E736" s="79"/>
      <c r="F736" s="79" t="s">
        <v>1767</v>
      </c>
      <c r="G736" s="84"/>
      <c r="H736" s="87" t="s">
        <v>2417</v>
      </c>
      <c r="I736" s="108" t="s">
        <v>623</v>
      </c>
      <c r="J736" s="108"/>
      <c r="K736" s="87"/>
      <c r="L736" s="87"/>
      <c r="M736" s="87"/>
      <c r="N736" s="87"/>
      <c r="O736" s="87"/>
      <c r="P736" s="87"/>
      <c r="Q736" s="87"/>
      <c r="R736" s="87"/>
      <c r="S736" s="87"/>
      <c r="T736" s="87"/>
      <c r="U736" s="311">
        <f>U735</f>
        <v>1.5</v>
      </c>
      <c r="V736" s="311">
        <f t="shared" ref="V736:AB736" si="104">V735</f>
        <v>1.5</v>
      </c>
      <c r="W736" s="311">
        <f t="shared" si="104"/>
        <v>1.5</v>
      </c>
      <c r="X736" s="311">
        <f t="shared" si="104"/>
        <v>1.5</v>
      </c>
      <c r="Y736" s="311">
        <f t="shared" si="104"/>
        <v>1.5</v>
      </c>
      <c r="Z736" s="311">
        <f t="shared" si="104"/>
        <v>1.5</v>
      </c>
      <c r="AA736" s="311">
        <f t="shared" si="104"/>
        <v>1.5</v>
      </c>
      <c r="AB736" s="311">
        <f t="shared" si="104"/>
        <v>1.5</v>
      </c>
      <c r="AC736" s="87"/>
      <c r="AD736" s="87"/>
      <c r="AE736" s="87"/>
      <c r="AF736" s="87">
        <v>1</v>
      </c>
      <c r="AG736" s="87">
        <v>1</v>
      </c>
      <c r="AH736" s="84"/>
      <c r="AI736" s="66"/>
      <c r="AJ736" s="54"/>
      <c r="AK736" s="54"/>
      <c r="AL736" s="54"/>
    </row>
    <row r="737" spans="1:38" hidden="1" outlineLevel="3" x14ac:dyDescent="0.25">
      <c r="A737" s="54"/>
      <c r="B737" s="63"/>
      <c r="C737" s="56">
        <f t="shared" si="103"/>
        <v>4</v>
      </c>
      <c r="D737" s="84"/>
      <c r="E737" s="79"/>
      <c r="F737" s="79" t="s">
        <v>1768</v>
      </c>
      <c r="G737" s="84"/>
      <c r="H737" s="87" t="s">
        <v>1689</v>
      </c>
      <c r="I737" s="108" t="s">
        <v>623</v>
      </c>
      <c r="J737" s="108"/>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3"/>
        <v>4</v>
      </c>
      <c r="D738" s="84"/>
      <c r="E738" s="79"/>
      <c r="F738" s="79" t="s">
        <v>1769</v>
      </c>
      <c r="G738" s="84"/>
      <c r="H738" s="87" t="s">
        <v>1691</v>
      </c>
      <c r="I738" s="108" t="s">
        <v>623</v>
      </c>
      <c r="J738" s="108"/>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3"/>
        <v>4</v>
      </c>
      <c r="D739" s="84"/>
      <c r="E739" s="79"/>
      <c r="F739" s="79" t="s">
        <v>1770</v>
      </c>
      <c r="G739" s="84"/>
      <c r="H739" s="87" t="s">
        <v>1693</v>
      </c>
      <c r="I739" s="108" t="s">
        <v>623</v>
      </c>
      <c r="J739" s="108"/>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3"/>
        <v>4</v>
      </c>
      <c r="D740" s="84"/>
      <c r="E740" s="79"/>
      <c r="F740" s="79" t="s">
        <v>1771</v>
      </c>
      <c r="G740" s="84"/>
      <c r="H740" s="87" t="s">
        <v>1695</v>
      </c>
      <c r="I740" s="108" t="s">
        <v>623</v>
      </c>
      <c r="J740" s="108"/>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1772</v>
      </c>
      <c r="F741" s="79" t="s">
        <v>1773</v>
      </c>
      <c r="G741" s="84"/>
      <c r="H741" s="87" t="s">
        <v>1774</v>
      </c>
      <c r="I741" s="108" t="s">
        <v>623</v>
      </c>
      <c r="J741" s="108"/>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6" t="s">
        <v>1727</v>
      </c>
      <c r="AE741" s="87"/>
      <c r="AF741" s="87">
        <v>1</v>
      </c>
      <c r="AG741" s="87">
        <v>1</v>
      </c>
      <c r="AH741" s="84"/>
      <c r="AI741" s="66"/>
      <c r="AJ741" s="54"/>
      <c r="AK741" s="54"/>
      <c r="AL741" s="54"/>
    </row>
    <row r="742" spans="1:38" outlineLevel="2" x14ac:dyDescent="0.25">
      <c r="A742" s="54"/>
      <c r="B742" s="63"/>
      <c r="C742" s="56">
        <f>INT($C$40)+2</f>
        <v>3</v>
      </c>
      <c r="D742" s="84"/>
      <c r="E742" s="79"/>
      <c r="F742" s="79" t="s">
        <v>1775</v>
      </c>
      <c r="G742" s="84"/>
      <c r="H742" s="87" t="s">
        <v>1691</v>
      </c>
      <c r="I742" s="108" t="s">
        <v>623</v>
      </c>
      <c r="J742" s="108"/>
      <c r="K742" s="87"/>
      <c r="L742" s="87"/>
      <c r="M742" s="87"/>
      <c r="N742" s="87"/>
      <c r="O742" s="87"/>
      <c r="P742" s="87"/>
      <c r="Q742" s="87"/>
      <c r="R742" s="87"/>
      <c r="S742" s="87"/>
      <c r="T742" s="87"/>
      <c r="U742" s="109">
        <v>0</v>
      </c>
      <c r="V742" s="109">
        <v>0</v>
      </c>
      <c r="W742" s="109">
        <v>0</v>
      </c>
      <c r="X742" s="109">
        <v>0</v>
      </c>
      <c r="Y742" s="109">
        <v>0</v>
      </c>
      <c r="Z742" s="109">
        <v>0</v>
      </c>
      <c r="AA742" s="109">
        <v>0</v>
      </c>
      <c r="AB742" s="109">
        <v>0</v>
      </c>
      <c r="AC742" s="87"/>
      <c r="AD742" s="109" t="s">
        <v>1161</v>
      </c>
      <c r="AE742" s="87"/>
      <c r="AF742" s="109">
        <v>1</v>
      </c>
      <c r="AG742" s="109">
        <v>1</v>
      </c>
      <c r="AH742" s="84"/>
      <c r="AI742" s="66"/>
      <c r="AJ742" s="54"/>
      <c r="AK742" s="54"/>
      <c r="AL742" s="54"/>
    </row>
    <row r="743" spans="1:38" outlineLevel="2" x14ac:dyDescent="0.25">
      <c r="A743" s="54"/>
      <c r="B743" s="63"/>
      <c r="C743" s="56">
        <f>INT($C$40)+2</f>
        <v>3</v>
      </c>
      <c r="D743" s="84"/>
      <c r="E743" s="79"/>
      <c r="F743" s="79" t="s">
        <v>1776</v>
      </c>
      <c r="G743" s="84"/>
      <c r="H743" s="87" t="s">
        <v>1693</v>
      </c>
      <c r="I743" s="108" t="s">
        <v>623</v>
      </c>
      <c r="J743" s="108"/>
      <c r="K743" s="87"/>
      <c r="L743" s="87"/>
      <c r="M743" s="87"/>
      <c r="N743" s="87"/>
      <c r="O743" s="87"/>
      <c r="P743" s="87"/>
      <c r="Q743" s="87"/>
      <c r="R743" s="87"/>
      <c r="S743" s="87"/>
      <c r="T743" s="87"/>
      <c r="U743" s="109">
        <v>1.1000000000000001</v>
      </c>
      <c r="V743" s="109">
        <v>1.1000000000000001</v>
      </c>
      <c r="W743" s="109">
        <v>1.1000000000000001</v>
      </c>
      <c r="X743" s="109">
        <v>0.82</v>
      </c>
      <c r="Y743" s="109">
        <v>0.82</v>
      </c>
      <c r="Z743" s="109">
        <v>0.82</v>
      </c>
      <c r="AA743" s="109">
        <v>0.82</v>
      </c>
      <c r="AB743" s="109">
        <v>0.82</v>
      </c>
      <c r="AC743" s="87"/>
      <c r="AD743" s="109" t="s">
        <v>1161</v>
      </c>
      <c r="AE743" s="87"/>
      <c r="AF743" s="109">
        <v>1</v>
      </c>
      <c r="AG743" s="109">
        <v>1</v>
      </c>
      <c r="AH743" s="84"/>
      <c r="AI743" s="66"/>
      <c r="AJ743" s="54"/>
      <c r="AK743" s="54"/>
      <c r="AL743" s="54"/>
    </row>
    <row r="744" spans="1:38" outlineLevel="2" collapsed="1" x14ac:dyDescent="0.25">
      <c r="A744" s="54"/>
      <c r="B744" s="63"/>
      <c r="C744" s="56">
        <f>INT($C$40)+2</f>
        <v>3</v>
      </c>
      <c r="D744" s="84"/>
      <c r="E744" s="79"/>
      <c r="F744" s="79" t="s">
        <v>1777</v>
      </c>
      <c r="G744" s="84"/>
      <c r="H744" s="87" t="s">
        <v>1695</v>
      </c>
      <c r="I744" s="108" t="s">
        <v>623</v>
      </c>
      <c r="J744" s="108"/>
      <c r="K744" s="87"/>
      <c r="L744" s="87"/>
      <c r="M744" s="87"/>
      <c r="N744" s="87"/>
      <c r="O744" s="87"/>
      <c r="P744" s="87"/>
      <c r="Q744" s="87"/>
      <c r="R744" s="87"/>
      <c r="S744" s="87"/>
      <c r="T744" s="87"/>
      <c r="U744" s="109">
        <v>1.1000000000000001</v>
      </c>
      <c r="V744" s="109">
        <v>1.1000000000000001</v>
      </c>
      <c r="W744" s="109">
        <v>1.1000000000000001</v>
      </c>
      <c r="X744" s="109">
        <v>0.82</v>
      </c>
      <c r="Y744" s="109">
        <v>0.82</v>
      </c>
      <c r="Z744" s="109">
        <v>0.82</v>
      </c>
      <c r="AA744" s="109">
        <v>0.82</v>
      </c>
      <c r="AB744" s="109">
        <v>0.82</v>
      </c>
      <c r="AC744" s="87"/>
      <c r="AD744" s="109" t="s">
        <v>1161</v>
      </c>
      <c r="AE744" s="87"/>
      <c r="AF744" s="109">
        <v>1</v>
      </c>
      <c r="AG744" s="109">
        <v>1</v>
      </c>
      <c r="AH744" s="84"/>
      <c r="AI744" s="66"/>
      <c r="AJ744" s="54"/>
      <c r="AK744" s="54"/>
      <c r="AL744" s="54"/>
    </row>
    <row r="745" spans="1:38" hidden="1" outlineLevel="3" x14ac:dyDescent="0.25">
      <c r="A745" s="54"/>
      <c r="B745" s="63"/>
      <c r="C745" s="56">
        <f t="shared" ref="C745:C752" si="105">INT($C$40)+3</f>
        <v>4</v>
      </c>
      <c r="D745" s="84"/>
      <c r="E745" s="79"/>
      <c r="F745" s="79" t="s">
        <v>1778</v>
      </c>
      <c r="G745" s="84"/>
      <c r="H745" s="87" t="s">
        <v>1779</v>
      </c>
      <c r="I745" s="108" t="s">
        <v>623</v>
      </c>
      <c r="J745" s="108"/>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5"/>
        <v>4</v>
      </c>
      <c r="D746" s="84"/>
      <c r="E746" s="79"/>
      <c r="F746" s="79" t="s">
        <v>1780</v>
      </c>
      <c r="G746" s="84"/>
      <c r="H746" s="87" t="s">
        <v>1691</v>
      </c>
      <c r="I746" s="108" t="s">
        <v>623</v>
      </c>
      <c r="J746" s="108"/>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5"/>
        <v>4</v>
      </c>
      <c r="D747" s="84"/>
      <c r="E747" s="79"/>
      <c r="F747" s="79" t="s">
        <v>1781</v>
      </c>
      <c r="G747" s="84"/>
      <c r="H747" s="87" t="s">
        <v>1693</v>
      </c>
      <c r="I747" s="108" t="s">
        <v>623</v>
      </c>
      <c r="J747" s="108"/>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5"/>
        <v>4</v>
      </c>
      <c r="D748" s="84"/>
      <c r="E748" s="79"/>
      <c r="F748" s="79" t="s">
        <v>1782</v>
      </c>
      <c r="G748" s="84"/>
      <c r="H748" s="87" t="s">
        <v>1695</v>
      </c>
      <c r="I748" s="108" t="s">
        <v>623</v>
      </c>
      <c r="J748" s="108"/>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5"/>
        <v>4</v>
      </c>
      <c r="D749" s="84"/>
      <c r="E749" s="79"/>
      <c r="F749" s="79" t="s">
        <v>1783</v>
      </c>
      <c r="G749" s="84"/>
      <c r="H749" s="87" t="s">
        <v>1784</v>
      </c>
      <c r="I749" s="108" t="s">
        <v>623</v>
      </c>
      <c r="J749" s="108"/>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5"/>
        <v>4</v>
      </c>
      <c r="D750" s="84"/>
      <c r="E750" s="79"/>
      <c r="F750" s="79" t="s">
        <v>1785</v>
      </c>
      <c r="G750" s="84"/>
      <c r="H750" s="87" t="s">
        <v>1691</v>
      </c>
      <c r="I750" s="108" t="s">
        <v>623</v>
      </c>
      <c r="J750" s="108"/>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1786</v>
      </c>
      <c r="G751" s="84"/>
      <c r="H751" s="87" t="s">
        <v>1693</v>
      </c>
      <c r="I751" s="108" t="s">
        <v>623</v>
      </c>
      <c r="J751" s="108"/>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1787</v>
      </c>
      <c r="G752" s="84"/>
      <c r="H752" s="87" t="s">
        <v>1695</v>
      </c>
      <c r="I752" s="108" t="s">
        <v>623</v>
      </c>
      <c r="J752" s="108"/>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6">INT($C$40)+2</f>
        <v>3</v>
      </c>
      <c r="D753" s="84"/>
      <c r="E753" s="79" t="s">
        <v>913</v>
      </c>
      <c r="F753" s="79" t="s">
        <v>1788</v>
      </c>
      <c r="G753" s="84"/>
      <c r="H753" s="87" t="s">
        <v>1789</v>
      </c>
      <c r="I753" s="108" t="s">
        <v>623</v>
      </c>
      <c r="J753" s="108"/>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6"/>
      <c r="AE753" s="87"/>
      <c r="AF753" s="87">
        <v>1</v>
      </c>
      <c r="AG753" s="87">
        <v>1</v>
      </c>
      <c r="AH753" s="84"/>
      <c r="AI753" s="66"/>
      <c r="AJ753" s="54"/>
      <c r="AK753" s="54"/>
      <c r="AL753" s="54"/>
    </row>
    <row r="754" spans="1:38" outlineLevel="2" x14ac:dyDescent="0.25">
      <c r="A754" s="54"/>
      <c r="B754" s="63"/>
      <c r="C754" s="56">
        <f t="shared" si="106"/>
        <v>3</v>
      </c>
      <c r="D754" s="84"/>
      <c r="E754" s="79"/>
      <c r="F754" s="79" t="s">
        <v>1790</v>
      </c>
      <c r="G754" s="84"/>
      <c r="H754" s="87" t="s">
        <v>1791</v>
      </c>
      <c r="I754" s="108" t="s">
        <v>623</v>
      </c>
      <c r="J754" s="108"/>
      <c r="K754" s="109">
        <v>1.5</v>
      </c>
      <c r="L754" s="109">
        <v>1.5</v>
      </c>
      <c r="M754" s="109">
        <v>1</v>
      </c>
      <c r="N754" s="109">
        <v>1</v>
      </c>
      <c r="O754" s="109">
        <v>1</v>
      </c>
      <c r="P754" s="109">
        <v>1</v>
      </c>
      <c r="Q754" s="87"/>
      <c r="R754" s="87" t="s">
        <v>673</v>
      </c>
      <c r="S754" s="87" t="s">
        <v>673</v>
      </c>
      <c r="T754" s="87"/>
      <c r="U754" s="311">
        <f t="shared" ref="U754:AB756" si="107">INDEX($K754:$Q754,1,U$54)</f>
        <v>1.5</v>
      </c>
      <c r="V754" s="311">
        <f t="shared" si="107"/>
        <v>1.5</v>
      </c>
      <c r="W754" s="311">
        <f t="shared" si="107"/>
        <v>1.5</v>
      </c>
      <c r="X754" s="311">
        <f t="shared" si="107"/>
        <v>1.5</v>
      </c>
      <c r="Y754" s="311">
        <f t="shared" si="107"/>
        <v>1.5</v>
      </c>
      <c r="Z754" s="311">
        <f t="shared" si="107"/>
        <v>1.5</v>
      </c>
      <c r="AA754" s="311">
        <f t="shared" si="107"/>
        <v>1.5</v>
      </c>
      <c r="AB754" s="311">
        <f t="shared" si="107"/>
        <v>1.5</v>
      </c>
      <c r="AC754" s="87"/>
      <c r="AD754" s="87"/>
      <c r="AE754" s="87"/>
      <c r="AF754" s="109">
        <v>1</v>
      </c>
      <c r="AG754" s="109">
        <v>1</v>
      </c>
      <c r="AH754" s="84"/>
      <c r="AI754" s="66"/>
      <c r="AJ754" s="54"/>
      <c r="AK754" s="54"/>
      <c r="AL754" s="54"/>
    </row>
    <row r="755" spans="1:38" outlineLevel="2" x14ac:dyDescent="0.25">
      <c r="A755" s="54"/>
      <c r="B755" s="63"/>
      <c r="C755" s="56">
        <f t="shared" si="106"/>
        <v>3</v>
      </c>
      <c r="D755" s="84"/>
      <c r="E755" s="79"/>
      <c r="F755" s="79" t="s">
        <v>1792</v>
      </c>
      <c r="G755" s="84"/>
      <c r="H755" s="87" t="s">
        <v>1793</v>
      </c>
      <c r="I755" s="108" t="s">
        <v>623</v>
      </c>
      <c r="J755" s="108"/>
      <c r="K755" s="109">
        <v>1.75</v>
      </c>
      <c r="L755" s="109">
        <v>1.75</v>
      </c>
      <c r="M755" s="87"/>
      <c r="N755" s="87"/>
      <c r="O755" s="87"/>
      <c r="P755" s="87"/>
      <c r="Q755" s="87"/>
      <c r="R755" s="87" t="s">
        <v>673</v>
      </c>
      <c r="S755" s="87"/>
      <c r="T755" s="87"/>
      <c r="U755" s="311">
        <f t="shared" si="107"/>
        <v>1.75</v>
      </c>
      <c r="V755" s="311">
        <f t="shared" si="107"/>
        <v>1.75</v>
      </c>
      <c r="W755" s="311">
        <f t="shared" si="107"/>
        <v>1.75</v>
      </c>
      <c r="X755" s="311">
        <f t="shared" si="107"/>
        <v>1.75</v>
      </c>
      <c r="Y755" s="311">
        <f t="shared" si="107"/>
        <v>1.75</v>
      </c>
      <c r="Z755" s="311">
        <f t="shared" si="107"/>
        <v>1.75</v>
      </c>
      <c r="AA755" s="311">
        <f t="shared" si="107"/>
        <v>1.75</v>
      </c>
      <c r="AB755" s="311">
        <f t="shared" si="107"/>
        <v>1.75</v>
      </c>
      <c r="AC755" s="87"/>
      <c r="AD755" s="87"/>
      <c r="AE755" s="87"/>
      <c r="AF755" s="109">
        <v>1</v>
      </c>
      <c r="AG755" s="109">
        <v>1</v>
      </c>
      <c r="AH755" s="84"/>
      <c r="AI755" s="66"/>
      <c r="AJ755" s="54"/>
      <c r="AK755" s="54"/>
      <c r="AL755" s="54"/>
    </row>
    <row r="756" spans="1:38" outlineLevel="2" x14ac:dyDescent="0.25">
      <c r="A756" s="54"/>
      <c r="B756" s="63"/>
      <c r="C756" s="56">
        <f t="shared" si="106"/>
        <v>3</v>
      </c>
      <c r="D756" s="84"/>
      <c r="E756" s="79"/>
      <c r="F756" s="79" t="s">
        <v>1794</v>
      </c>
      <c r="G756" s="84"/>
      <c r="H756" s="87" t="s">
        <v>1795</v>
      </c>
      <c r="I756" s="108" t="s">
        <v>623</v>
      </c>
      <c r="J756" s="108"/>
      <c r="K756" s="109">
        <v>2</v>
      </c>
      <c r="L756" s="109">
        <v>2</v>
      </c>
      <c r="M756" s="87"/>
      <c r="N756" s="87"/>
      <c r="O756" s="87"/>
      <c r="P756" s="87"/>
      <c r="Q756" s="87"/>
      <c r="R756" s="87" t="s">
        <v>673</v>
      </c>
      <c r="S756" s="87"/>
      <c r="T756" s="87"/>
      <c r="U756" s="311">
        <f t="shared" si="107"/>
        <v>2</v>
      </c>
      <c r="V756" s="311">
        <f t="shared" si="107"/>
        <v>2</v>
      </c>
      <c r="W756" s="311">
        <f t="shared" si="107"/>
        <v>2</v>
      </c>
      <c r="X756" s="311">
        <f t="shared" si="107"/>
        <v>2</v>
      </c>
      <c r="Y756" s="311">
        <f t="shared" si="107"/>
        <v>2</v>
      </c>
      <c r="Z756" s="311">
        <f t="shared" si="107"/>
        <v>2</v>
      </c>
      <c r="AA756" s="311">
        <f t="shared" si="107"/>
        <v>2</v>
      </c>
      <c r="AB756" s="311">
        <f t="shared" si="107"/>
        <v>2</v>
      </c>
      <c r="AC756" s="87"/>
      <c r="AD756" s="87"/>
      <c r="AE756" s="87"/>
      <c r="AF756" s="109">
        <v>1</v>
      </c>
      <c r="AG756" s="109">
        <v>1</v>
      </c>
      <c r="AH756" s="84"/>
      <c r="AI756" s="66"/>
      <c r="AJ756" s="54"/>
      <c r="AK756" s="54"/>
      <c r="AL756" s="54"/>
    </row>
    <row r="757" spans="1:38" outlineLevel="2" x14ac:dyDescent="0.25">
      <c r="A757" s="54"/>
      <c r="B757" s="63"/>
      <c r="C757" s="56">
        <f t="shared" si="106"/>
        <v>3</v>
      </c>
      <c r="D757" s="84"/>
      <c r="E757" s="79" t="s">
        <v>916</v>
      </c>
      <c r="F757" s="79" t="s">
        <v>1796</v>
      </c>
      <c r="G757" s="84"/>
      <c r="H757" s="87" t="s">
        <v>1797</v>
      </c>
      <c r="I757" s="108" t="s">
        <v>623</v>
      </c>
      <c r="J757" s="108" t="s">
        <v>1335</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6"/>
        <v>3</v>
      </c>
      <c r="D758" s="84"/>
      <c r="E758" s="79"/>
      <c r="F758" s="79" t="s">
        <v>1798</v>
      </c>
      <c r="G758" s="84"/>
      <c r="H758" s="87" t="s">
        <v>1799</v>
      </c>
      <c r="I758" s="108" t="s">
        <v>136</v>
      </c>
      <c r="J758" s="108" t="s">
        <v>1335</v>
      </c>
      <c r="K758" s="109">
        <v>0.1</v>
      </c>
      <c r="L758" s="109">
        <v>0.1</v>
      </c>
      <c r="M758" s="109">
        <v>7.0000000000000007E-2</v>
      </c>
      <c r="N758" s="109">
        <v>7.0000000000000007E-2</v>
      </c>
      <c r="O758" s="109">
        <v>7.0000000000000007E-2</v>
      </c>
      <c r="P758" s="109">
        <v>7.0000000000000007E-2</v>
      </c>
      <c r="Q758" s="87"/>
      <c r="R758" s="87" t="s">
        <v>673</v>
      </c>
      <c r="S758" s="87" t="s">
        <v>673</v>
      </c>
      <c r="T758" s="87"/>
      <c r="U758" s="311">
        <f t="shared" ref="U758:AB760" si="108">INDEX($K758:$Q758,1,U$54)</f>
        <v>0.1</v>
      </c>
      <c r="V758" s="311">
        <f t="shared" si="108"/>
        <v>0.1</v>
      </c>
      <c r="W758" s="311">
        <f t="shared" si="108"/>
        <v>0.1</v>
      </c>
      <c r="X758" s="311">
        <f t="shared" si="108"/>
        <v>0.1</v>
      </c>
      <c r="Y758" s="311">
        <f t="shared" si="108"/>
        <v>0.1</v>
      </c>
      <c r="Z758" s="311">
        <f t="shared" si="108"/>
        <v>0.1</v>
      </c>
      <c r="AA758" s="311">
        <f t="shared" si="108"/>
        <v>0.1</v>
      </c>
      <c r="AB758" s="311">
        <f t="shared" si="108"/>
        <v>0.1</v>
      </c>
      <c r="AC758" s="87"/>
      <c r="AD758" s="87"/>
      <c r="AE758" s="87"/>
      <c r="AF758" s="109">
        <v>1</v>
      </c>
      <c r="AG758" s="109">
        <v>1</v>
      </c>
      <c r="AH758" s="84"/>
      <c r="AI758" s="66"/>
      <c r="AJ758" s="54"/>
      <c r="AK758" s="54"/>
      <c r="AL758" s="54"/>
    </row>
    <row r="759" spans="1:38" outlineLevel="2" x14ac:dyDescent="0.25">
      <c r="A759" s="54"/>
      <c r="B759" s="63"/>
      <c r="C759" s="56">
        <f t="shared" si="106"/>
        <v>3</v>
      </c>
      <c r="D759" s="84"/>
      <c r="E759" s="79"/>
      <c r="F759" s="79" t="s">
        <v>1800</v>
      </c>
      <c r="G759" s="84"/>
      <c r="H759" s="87" t="s">
        <v>1801</v>
      </c>
      <c r="I759" s="108" t="s">
        <v>136</v>
      </c>
      <c r="J759" s="108" t="s">
        <v>1335</v>
      </c>
      <c r="K759" s="109">
        <v>8.5000000000000006E-2</v>
      </c>
      <c r="L759" s="109">
        <v>8.5000000000000006E-2</v>
      </c>
      <c r="M759" s="87"/>
      <c r="N759" s="87"/>
      <c r="O759" s="87"/>
      <c r="P759" s="87"/>
      <c r="Q759" s="87"/>
      <c r="R759" s="87" t="s">
        <v>673</v>
      </c>
      <c r="S759" s="87"/>
      <c r="T759" s="87"/>
      <c r="U759" s="311">
        <f t="shared" si="108"/>
        <v>8.5000000000000006E-2</v>
      </c>
      <c r="V759" s="311">
        <f t="shared" si="108"/>
        <v>8.5000000000000006E-2</v>
      </c>
      <c r="W759" s="311">
        <f t="shared" si="108"/>
        <v>8.5000000000000006E-2</v>
      </c>
      <c r="X759" s="311">
        <f t="shared" si="108"/>
        <v>8.5000000000000006E-2</v>
      </c>
      <c r="Y759" s="311">
        <f t="shared" si="108"/>
        <v>8.5000000000000006E-2</v>
      </c>
      <c r="Z759" s="311">
        <f t="shared" si="108"/>
        <v>8.5000000000000006E-2</v>
      </c>
      <c r="AA759" s="311">
        <f t="shared" si="108"/>
        <v>8.5000000000000006E-2</v>
      </c>
      <c r="AB759" s="311">
        <f t="shared" si="108"/>
        <v>8.5000000000000006E-2</v>
      </c>
      <c r="AC759" s="87"/>
      <c r="AD759" s="87"/>
      <c r="AE759" s="87"/>
      <c r="AF759" s="109">
        <v>1</v>
      </c>
      <c r="AG759" s="109">
        <v>1</v>
      </c>
      <c r="AH759" s="84"/>
      <c r="AI759" s="66"/>
      <c r="AJ759" s="54"/>
      <c r="AK759" s="54"/>
      <c r="AL759" s="54"/>
    </row>
    <row r="760" spans="1:38" outlineLevel="2" x14ac:dyDescent="0.25">
      <c r="A760" s="54"/>
      <c r="B760" s="63"/>
      <c r="C760" s="56">
        <f t="shared" si="106"/>
        <v>3</v>
      </c>
      <c r="D760" s="84"/>
      <c r="E760" s="79"/>
      <c r="F760" s="79" t="s">
        <v>1802</v>
      </c>
      <c r="G760" s="84"/>
      <c r="H760" s="87" t="s">
        <v>1803</v>
      </c>
      <c r="I760" s="108" t="s">
        <v>136</v>
      </c>
      <c r="J760" s="108" t="s">
        <v>1335</v>
      </c>
      <c r="K760" s="109">
        <v>7.0000000000000007E-2</v>
      </c>
      <c r="L760" s="109">
        <v>7.0000000000000007E-2</v>
      </c>
      <c r="M760" s="87"/>
      <c r="N760" s="87"/>
      <c r="O760" s="87"/>
      <c r="P760" s="87"/>
      <c r="Q760" s="87"/>
      <c r="R760" s="87" t="s">
        <v>673</v>
      </c>
      <c r="S760" s="87"/>
      <c r="T760" s="87"/>
      <c r="U760" s="311">
        <f t="shared" si="108"/>
        <v>7.0000000000000007E-2</v>
      </c>
      <c r="V760" s="311">
        <f t="shared" si="108"/>
        <v>7.0000000000000007E-2</v>
      </c>
      <c r="W760" s="311">
        <f t="shared" si="108"/>
        <v>7.0000000000000007E-2</v>
      </c>
      <c r="X760" s="311">
        <f t="shared" si="108"/>
        <v>7.0000000000000007E-2</v>
      </c>
      <c r="Y760" s="311">
        <f t="shared" si="108"/>
        <v>7.0000000000000007E-2</v>
      </c>
      <c r="Z760" s="311">
        <f t="shared" si="108"/>
        <v>7.0000000000000007E-2</v>
      </c>
      <c r="AA760" s="311">
        <f t="shared" si="108"/>
        <v>7.0000000000000007E-2</v>
      </c>
      <c r="AB760" s="311">
        <f t="shared" si="108"/>
        <v>7.0000000000000007E-2</v>
      </c>
      <c r="AC760" s="87"/>
      <c r="AD760" s="87"/>
      <c r="AE760" s="87"/>
      <c r="AF760" s="109">
        <v>1</v>
      </c>
      <c r="AG760" s="109">
        <v>1</v>
      </c>
      <c r="AH760" s="84"/>
      <c r="AI760" s="66"/>
      <c r="AJ760" s="54"/>
      <c r="AK760" s="54"/>
      <c r="AL760" s="54"/>
    </row>
    <row r="761" spans="1:38" outlineLevel="2" x14ac:dyDescent="0.25">
      <c r="A761" s="54"/>
      <c r="B761" s="63"/>
      <c r="C761" s="56">
        <f t="shared" si="106"/>
        <v>3</v>
      </c>
      <c r="D761" s="84"/>
      <c r="E761" s="79"/>
      <c r="F761" s="79" t="s">
        <v>1804</v>
      </c>
      <c r="G761" s="84"/>
      <c r="H761" s="87" t="s">
        <v>1805</v>
      </c>
      <c r="I761" s="108" t="s">
        <v>623</v>
      </c>
      <c r="J761" s="108" t="s">
        <v>1292</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6"/>
        <v>3</v>
      </c>
      <c r="D762" s="84"/>
      <c r="E762" s="79"/>
      <c r="F762" s="79" t="s">
        <v>1806</v>
      </c>
      <c r="G762" s="84"/>
      <c r="H762" s="87" t="s">
        <v>1807</v>
      </c>
      <c r="I762" s="108" t="s">
        <v>820</v>
      </c>
      <c r="J762" s="108" t="s">
        <v>1292</v>
      </c>
      <c r="K762" s="87"/>
      <c r="L762" s="87"/>
      <c r="M762" s="87"/>
      <c r="N762" s="87"/>
      <c r="O762" s="87"/>
      <c r="P762" s="87"/>
      <c r="Q762" s="87"/>
      <c r="R762" s="87"/>
      <c r="S762" s="87"/>
      <c r="T762" s="87"/>
      <c r="U762" s="109">
        <v>0</v>
      </c>
      <c r="V762" s="313">
        <f t="shared" ref="V762:AB764" si="109">U762</f>
        <v>0</v>
      </c>
      <c r="W762" s="313">
        <f t="shared" si="109"/>
        <v>0</v>
      </c>
      <c r="X762" s="313">
        <f t="shared" si="109"/>
        <v>0</v>
      </c>
      <c r="Y762" s="109">
        <v>0</v>
      </c>
      <c r="Z762" s="313">
        <f t="shared" si="109"/>
        <v>0</v>
      </c>
      <c r="AA762" s="313">
        <f t="shared" si="109"/>
        <v>0</v>
      </c>
      <c r="AB762" s="313">
        <f t="shared" si="109"/>
        <v>0</v>
      </c>
      <c r="AC762" s="87"/>
      <c r="AD762" s="109" t="s">
        <v>2419</v>
      </c>
      <c r="AE762" s="87"/>
      <c r="AF762" s="109">
        <v>1</v>
      </c>
      <c r="AG762" s="109">
        <v>1</v>
      </c>
      <c r="AH762" s="84"/>
      <c r="AI762" s="66"/>
      <c r="AJ762" s="54"/>
      <c r="AK762" s="54"/>
      <c r="AL762" s="54"/>
    </row>
    <row r="763" spans="1:38" outlineLevel="2" x14ac:dyDescent="0.25">
      <c r="A763" s="54"/>
      <c r="B763" s="63"/>
      <c r="C763" s="56">
        <f t="shared" si="106"/>
        <v>3</v>
      </c>
      <c r="D763" s="84"/>
      <c r="E763" s="79"/>
      <c r="F763" s="79" t="s">
        <v>1808</v>
      </c>
      <c r="G763" s="84"/>
      <c r="H763" s="87" t="s">
        <v>1809</v>
      </c>
      <c r="I763" s="108" t="s">
        <v>820</v>
      </c>
      <c r="J763" s="108" t="s">
        <v>1292</v>
      </c>
      <c r="K763" s="87"/>
      <c r="L763" s="87"/>
      <c r="M763" s="87"/>
      <c r="N763" s="87"/>
      <c r="O763" s="87"/>
      <c r="P763" s="87"/>
      <c r="Q763" s="87"/>
      <c r="R763" s="87"/>
      <c r="S763" s="87"/>
      <c r="T763" s="87"/>
      <c r="U763" s="109">
        <v>-1.03</v>
      </c>
      <c r="V763" s="313">
        <f t="shared" si="109"/>
        <v>-1.03</v>
      </c>
      <c r="W763" s="313">
        <f t="shared" si="109"/>
        <v>-1.03</v>
      </c>
      <c r="X763" s="313">
        <f t="shared" si="109"/>
        <v>-1.03</v>
      </c>
      <c r="Y763" s="109">
        <v>-1.08</v>
      </c>
      <c r="Z763" s="313">
        <f t="shared" si="109"/>
        <v>-1.08</v>
      </c>
      <c r="AA763" s="313">
        <f t="shared" si="109"/>
        <v>-1.08</v>
      </c>
      <c r="AB763" s="313">
        <f t="shared" si="109"/>
        <v>-1.08</v>
      </c>
      <c r="AC763" s="87"/>
      <c r="AD763" s="109"/>
      <c r="AE763" s="87"/>
      <c r="AF763" s="109">
        <v>1</v>
      </c>
      <c r="AG763" s="109">
        <v>1</v>
      </c>
      <c r="AH763" s="84"/>
      <c r="AI763" s="66"/>
      <c r="AJ763" s="54"/>
      <c r="AK763" s="54"/>
      <c r="AL763" s="54"/>
    </row>
    <row r="764" spans="1:38" outlineLevel="2" collapsed="1" x14ac:dyDescent="0.25">
      <c r="A764" s="54"/>
      <c r="B764" s="63"/>
      <c r="C764" s="56">
        <f t="shared" si="106"/>
        <v>3</v>
      </c>
      <c r="D764" s="84"/>
      <c r="E764" s="79"/>
      <c r="F764" s="79" t="s">
        <v>1810</v>
      </c>
      <c r="G764" s="84"/>
      <c r="H764" s="87" t="s">
        <v>1811</v>
      </c>
      <c r="I764" s="108" t="s">
        <v>820</v>
      </c>
      <c r="J764" s="108" t="s">
        <v>1292</v>
      </c>
      <c r="K764" s="87"/>
      <c r="L764" s="87"/>
      <c r="M764" s="87"/>
      <c r="N764" s="87"/>
      <c r="O764" s="87"/>
      <c r="P764" s="87"/>
      <c r="Q764" s="87"/>
      <c r="R764" s="87"/>
      <c r="S764" s="87"/>
      <c r="T764" s="87"/>
      <c r="U764" s="109">
        <v>-2</v>
      </c>
      <c r="V764" s="313">
        <f t="shared" si="109"/>
        <v>-2</v>
      </c>
      <c r="W764" s="313">
        <f t="shared" si="109"/>
        <v>-2</v>
      </c>
      <c r="X764" s="313">
        <f t="shared" si="109"/>
        <v>-2</v>
      </c>
      <c r="Y764" s="109">
        <v>-2.0099999999999998</v>
      </c>
      <c r="Z764" s="313">
        <f t="shared" si="109"/>
        <v>-2.0099999999999998</v>
      </c>
      <c r="AA764" s="313">
        <f t="shared" si="109"/>
        <v>-2.0099999999999998</v>
      </c>
      <c r="AB764" s="313">
        <f t="shared" si="109"/>
        <v>-2.0099999999999998</v>
      </c>
      <c r="AC764" s="87"/>
      <c r="AD764" s="109"/>
      <c r="AE764" s="87"/>
      <c r="AF764" s="109">
        <v>1</v>
      </c>
      <c r="AG764" s="109">
        <v>1</v>
      </c>
      <c r="AH764" s="84"/>
      <c r="AI764" s="66"/>
      <c r="AJ764" s="54"/>
      <c r="AK764" s="54"/>
      <c r="AL764" s="54"/>
    </row>
    <row r="765" spans="1:38" hidden="1" outlineLevel="3" x14ac:dyDescent="0.25">
      <c r="A765" s="54"/>
      <c r="B765" s="63"/>
      <c r="C765" s="56">
        <f t="shared" si="106"/>
        <v>3</v>
      </c>
      <c r="D765" s="84"/>
      <c r="E765" s="79"/>
      <c r="F765" s="79" t="s">
        <v>1812</v>
      </c>
      <c r="G765" s="84"/>
      <c r="H765" s="87" t="s">
        <v>2423</v>
      </c>
      <c r="I765" s="108" t="s">
        <v>623</v>
      </c>
      <c r="J765" s="108"/>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6"/>
        <v>3</v>
      </c>
      <c r="D766" s="84"/>
      <c r="E766" s="79"/>
      <c r="F766" s="79" t="s">
        <v>1814</v>
      </c>
      <c r="G766" s="84"/>
      <c r="H766" s="87" t="s">
        <v>1691</v>
      </c>
      <c r="I766" s="108" t="s">
        <v>623</v>
      </c>
      <c r="J766" s="108"/>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6"/>
        <v>3</v>
      </c>
      <c r="D767" s="84"/>
      <c r="E767" s="79"/>
      <c r="F767" s="79" t="s">
        <v>1815</v>
      </c>
      <c r="G767" s="84"/>
      <c r="H767" s="87" t="s">
        <v>1693</v>
      </c>
      <c r="I767" s="108" t="s">
        <v>623</v>
      </c>
      <c r="J767" s="108"/>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6"/>
        <v>3</v>
      </c>
      <c r="D768" s="84"/>
      <c r="E768" s="79"/>
      <c r="F768" s="79" t="s">
        <v>1816</v>
      </c>
      <c r="G768" s="84"/>
      <c r="H768" s="87" t="s">
        <v>1695</v>
      </c>
      <c r="I768" s="108" t="s">
        <v>623</v>
      </c>
      <c r="J768" s="108"/>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6"/>
        <v>3</v>
      </c>
      <c r="D769" s="84"/>
      <c r="E769" s="79"/>
      <c r="F769" s="79" t="s">
        <v>1817</v>
      </c>
      <c r="G769" s="84"/>
      <c r="H769" s="87" t="s">
        <v>1818</v>
      </c>
      <c r="I769" s="108" t="s">
        <v>623</v>
      </c>
      <c r="J769" s="108"/>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6"/>
        <v>3</v>
      </c>
      <c r="D770" s="84"/>
      <c r="E770" s="79"/>
      <c r="F770" s="79" t="s">
        <v>1819</v>
      </c>
      <c r="G770" s="84"/>
      <c r="H770" s="87" t="s">
        <v>1820</v>
      </c>
      <c r="I770" s="108" t="s">
        <v>623</v>
      </c>
      <c r="J770" s="108"/>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1821</v>
      </c>
      <c r="G771" s="84"/>
      <c r="H771" s="87" t="s">
        <v>1822</v>
      </c>
      <c r="I771" s="108" t="s">
        <v>623</v>
      </c>
      <c r="J771" s="108"/>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1823</v>
      </c>
      <c r="G772" s="84"/>
      <c r="H772" s="87" t="s">
        <v>1824</v>
      </c>
      <c r="I772" s="108" t="s">
        <v>623</v>
      </c>
      <c r="J772" s="108"/>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1825</v>
      </c>
      <c r="G773" s="84"/>
      <c r="H773" s="87" t="s">
        <v>1689</v>
      </c>
      <c r="I773" s="108" t="s">
        <v>623</v>
      </c>
      <c r="J773" s="108"/>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1826</v>
      </c>
      <c r="G774" s="84"/>
      <c r="H774" s="87" t="s">
        <v>1691</v>
      </c>
      <c r="I774" s="108" t="s">
        <v>623</v>
      </c>
      <c r="J774" s="108"/>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1827</v>
      </c>
      <c r="G775" s="84"/>
      <c r="H775" s="87" t="s">
        <v>1693</v>
      </c>
      <c r="I775" s="108" t="s">
        <v>623</v>
      </c>
      <c r="J775" s="108"/>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1828</v>
      </c>
      <c r="G776" s="84"/>
      <c r="H776" s="87" t="s">
        <v>1695</v>
      </c>
      <c r="I776" s="108" t="s">
        <v>623</v>
      </c>
      <c r="J776" s="108"/>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25">
      <c r="A777" s="54"/>
      <c r="B777" s="63"/>
      <c r="C777" s="56">
        <f>INT($C$40)+1</f>
        <v>2</v>
      </c>
      <c r="D777" s="84"/>
      <c r="E777" s="79"/>
      <c r="F777" s="327" t="s">
        <v>1829</v>
      </c>
      <c r="G777" s="84"/>
      <c r="H777" s="304" t="s">
        <v>1830</v>
      </c>
      <c r="I777" s="149"/>
      <c r="J777" s="149" t="s">
        <v>1192</v>
      </c>
      <c r="K777" s="87"/>
      <c r="L777" s="87"/>
      <c r="M777" s="87"/>
      <c r="N777" s="87"/>
      <c r="O777" s="87"/>
      <c r="P777" s="87"/>
      <c r="Q777" s="87"/>
      <c r="R777" s="87"/>
      <c r="S777" s="87"/>
      <c r="T777" s="87"/>
      <c r="U777" s="91">
        <v>20</v>
      </c>
      <c r="V777" s="91">
        <v>4</v>
      </c>
      <c r="W777" s="91">
        <v>-12</v>
      </c>
      <c r="X777" s="87"/>
      <c r="Y777" s="87"/>
      <c r="Z777" s="87"/>
      <c r="AA777" s="87"/>
      <c r="AB777" s="87"/>
      <c r="AC777" s="87"/>
      <c r="AD777" s="87"/>
      <c r="AE777" s="87"/>
      <c r="AF777" s="87"/>
      <c r="AG777" s="87"/>
      <c r="AH777" s="84"/>
      <c r="AI777" s="66"/>
      <c r="AJ777" s="54"/>
      <c r="AK777" s="54"/>
      <c r="AL777" s="54"/>
    </row>
    <row r="778" spans="1:38" outlineLevel="2" x14ac:dyDescent="0.25">
      <c r="A778" s="54"/>
      <c r="B778" s="63"/>
      <c r="C778" s="56">
        <f>INT($C$40)+2</f>
        <v>3</v>
      </c>
      <c r="D778" s="84"/>
      <c r="E778" s="79" t="s">
        <v>920</v>
      </c>
      <c r="F778" s="79" t="s">
        <v>1831</v>
      </c>
      <c r="G778" s="84"/>
      <c r="H778" s="87" t="s">
        <v>1832</v>
      </c>
      <c r="I778" s="108" t="s">
        <v>792</v>
      </c>
      <c r="J778" s="108"/>
      <c r="K778" s="87"/>
      <c r="L778" s="87"/>
      <c r="M778" s="87"/>
      <c r="N778" s="87"/>
      <c r="O778" s="87"/>
      <c r="P778" s="87"/>
      <c r="Q778" s="87"/>
      <c r="R778" s="87" t="s">
        <v>799</v>
      </c>
      <c r="S778" s="87" t="s">
        <v>925</v>
      </c>
      <c r="T778" s="87"/>
      <c r="U778" s="87">
        <v>0</v>
      </c>
      <c r="V778" s="87">
        <v>0</v>
      </c>
      <c r="W778" s="87">
        <v>0</v>
      </c>
      <c r="X778" s="87">
        <v>0</v>
      </c>
      <c r="Y778" s="87">
        <v>0</v>
      </c>
      <c r="Z778" s="87">
        <v>0</v>
      </c>
      <c r="AA778" s="87">
        <v>0</v>
      </c>
      <c r="AB778" s="87">
        <v>0</v>
      </c>
      <c r="AC778" s="87"/>
      <c r="AD778" s="326" t="s">
        <v>1833</v>
      </c>
      <c r="AE778" s="87"/>
      <c r="AF778" s="87">
        <v>1</v>
      </c>
      <c r="AG778" s="87">
        <v>1</v>
      </c>
      <c r="AH778" s="84"/>
      <c r="AI778" s="66"/>
      <c r="AJ778" s="54"/>
      <c r="AK778" s="54"/>
      <c r="AL778" s="54"/>
    </row>
    <row r="779" spans="1:38" outlineLevel="2" x14ac:dyDescent="0.25">
      <c r="A779" s="54"/>
      <c r="B779" s="63"/>
      <c r="C779" s="56">
        <f>INT($C$40)+2</f>
        <v>3</v>
      </c>
      <c r="D779" s="84"/>
      <c r="E779" s="79"/>
      <c r="F779" s="79" t="s">
        <v>1834</v>
      </c>
      <c r="G779" s="84"/>
      <c r="H779" s="87" t="s">
        <v>1835</v>
      </c>
      <c r="I779" s="108" t="s">
        <v>792</v>
      </c>
      <c r="J779" s="108"/>
      <c r="K779" s="109">
        <v>0.38900000000000001</v>
      </c>
      <c r="L779" s="109">
        <v>0.48599999999999999</v>
      </c>
      <c r="M779" s="109">
        <v>0.375</v>
      </c>
      <c r="N779" s="109">
        <v>0.375</v>
      </c>
      <c r="O779" s="109">
        <v>0.375</v>
      </c>
      <c r="P779" s="109">
        <v>0.5</v>
      </c>
      <c r="Q779" s="87"/>
      <c r="R779" s="87" t="s">
        <v>799</v>
      </c>
      <c r="S779" s="87" t="s">
        <v>925</v>
      </c>
      <c r="T779" s="87"/>
      <c r="U779" s="311">
        <f t="shared" ref="U779:AB781" si="110">INDEX($K779:$Q779,1,U$54)</f>
        <v>0.38900000000000001</v>
      </c>
      <c r="V779" s="311">
        <f t="shared" si="110"/>
        <v>0.38900000000000001</v>
      </c>
      <c r="W779" s="311">
        <f t="shared" si="110"/>
        <v>0.38900000000000001</v>
      </c>
      <c r="X779" s="311">
        <f t="shared" si="110"/>
        <v>0.48599999999999999</v>
      </c>
      <c r="Y779" s="311">
        <f t="shared" si="110"/>
        <v>0.48599999999999999</v>
      </c>
      <c r="Z779" s="311">
        <f t="shared" si="110"/>
        <v>0.48599999999999999</v>
      </c>
      <c r="AA779" s="311">
        <f t="shared" si="110"/>
        <v>0.48599999999999999</v>
      </c>
      <c r="AB779" s="311">
        <f t="shared" si="110"/>
        <v>0.48599999999999999</v>
      </c>
      <c r="AC779" s="87"/>
      <c r="AD779" s="87"/>
      <c r="AE779" s="87"/>
      <c r="AF779" s="109">
        <v>1</v>
      </c>
      <c r="AG779" s="109">
        <v>1</v>
      </c>
      <c r="AH779" s="84"/>
      <c r="AI779" s="66"/>
      <c r="AJ779" s="54"/>
      <c r="AK779" s="54"/>
      <c r="AL779" s="54"/>
    </row>
    <row r="780" spans="1:38" outlineLevel="2" x14ac:dyDescent="0.25">
      <c r="A780" s="54"/>
      <c r="B780" s="63"/>
      <c r="C780" s="56">
        <f>INT($C$40)+2</f>
        <v>3</v>
      </c>
      <c r="D780" s="84"/>
      <c r="E780" s="79"/>
      <c r="F780" s="79" t="s">
        <v>1831</v>
      </c>
      <c r="G780" s="84"/>
      <c r="H780" s="87" t="s">
        <v>1836</v>
      </c>
      <c r="I780" s="108" t="s">
        <v>792</v>
      </c>
      <c r="J780" s="108"/>
      <c r="K780" s="109">
        <v>0.622</v>
      </c>
      <c r="L780" s="109">
        <v>0.77800000000000002</v>
      </c>
      <c r="M780" s="87"/>
      <c r="N780" s="87"/>
      <c r="O780" s="87"/>
      <c r="P780" s="87"/>
      <c r="Q780" s="87"/>
      <c r="R780" s="87" t="s">
        <v>799</v>
      </c>
      <c r="S780" s="87" t="s">
        <v>925</v>
      </c>
      <c r="T780" s="87"/>
      <c r="U780" s="311">
        <f t="shared" si="110"/>
        <v>0.622</v>
      </c>
      <c r="V780" s="311">
        <f t="shared" si="110"/>
        <v>0.622</v>
      </c>
      <c r="W780" s="311">
        <f t="shared" si="110"/>
        <v>0.622</v>
      </c>
      <c r="X780" s="311">
        <f t="shared" si="110"/>
        <v>0.77800000000000002</v>
      </c>
      <c r="Y780" s="311">
        <f t="shared" si="110"/>
        <v>0.77800000000000002</v>
      </c>
      <c r="Z780" s="311">
        <f t="shared" si="110"/>
        <v>0.77800000000000002</v>
      </c>
      <c r="AA780" s="311">
        <f t="shared" si="110"/>
        <v>0.77800000000000002</v>
      </c>
      <c r="AB780" s="311">
        <f t="shared" si="110"/>
        <v>0.77800000000000002</v>
      </c>
      <c r="AC780" s="87"/>
      <c r="AD780" s="87"/>
      <c r="AE780" s="87"/>
      <c r="AF780" s="109">
        <v>1</v>
      </c>
      <c r="AG780" s="109">
        <v>1</v>
      </c>
      <c r="AH780" s="84"/>
      <c r="AI780" s="66"/>
      <c r="AJ780" s="54"/>
      <c r="AK780" s="54"/>
      <c r="AL780" s="54"/>
    </row>
    <row r="781" spans="1:38" outlineLevel="2" collapsed="1" x14ac:dyDescent="0.25">
      <c r="A781" s="54"/>
      <c r="B781" s="63"/>
      <c r="C781" s="56">
        <f>INT($C$40)+2</f>
        <v>3</v>
      </c>
      <c r="D781" s="84"/>
      <c r="E781" s="79"/>
      <c r="F781" s="79" t="s">
        <v>1837</v>
      </c>
      <c r="G781" s="84"/>
      <c r="H781" s="87" t="s">
        <v>1838</v>
      </c>
      <c r="I781" s="108" t="s">
        <v>792</v>
      </c>
      <c r="J781" s="108"/>
      <c r="K781" s="109">
        <v>0.746</v>
      </c>
      <c r="L781" s="109">
        <v>0.93400000000000005</v>
      </c>
      <c r="M781" s="87"/>
      <c r="N781" s="87"/>
      <c r="O781" s="87"/>
      <c r="P781" s="87"/>
      <c r="Q781" s="87"/>
      <c r="R781" s="87" t="s">
        <v>799</v>
      </c>
      <c r="S781" s="87" t="s">
        <v>925</v>
      </c>
      <c r="T781" s="87"/>
      <c r="U781" s="311">
        <f t="shared" si="110"/>
        <v>0.746</v>
      </c>
      <c r="V781" s="311">
        <f t="shared" si="110"/>
        <v>0.746</v>
      </c>
      <c r="W781" s="311">
        <f t="shared" si="110"/>
        <v>0.746</v>
      </c>
      <c r="X781" s="311">
        <f t="shared" si="110"/>
        <v>0.93400000000000005</v>
      </c>
      <c r="Y781" s="311">
        <f t="shared" si="110"/>
        <v>0.93400000000000005</v>
      </c>
      <c r="Z781" s="311">
        <f t="shared" si="110"/>
        <v>0.93400000000000005</v>
      </c>
      <c r="AA781" s="311">
        <f t="shared" si="110"/>
        <v>0.93400000000000005</v>
      </c>
      <c r="AB781" s="311">
        <f t="shared" si="110"/>
        <v>0.93400000000000005</v>
      </c>
      <c r="AC781" s="87"/>
      <c r="AD781" s="87"/>
      <c r="AE781" s="87"/>
      <c r="AF781" s="109">
        <v>1</v>
      </c>
      <c r="AG781" s="109">
        <v>1</v>
      </c>
      <c r="AH781" s="84"/>
      <c r="AI781" s="66"/>
      <c r="AJ781" s="54"/>
      <c r="AK781" s="54"/>
      <c r="AL781" s="54"/>
    </row>
    <row r="782" spans="1:38" hidden="1" outlineLevel="3" x14ac:dyDescent="0.25">
      <c r="A782" s="54">
        <f>A702+1</f>
        <v>1</v>
      </c>
      <c r="B782" s="63"/>
      <c r="C782" s="56">
        <f t="shared" ref="C782:C845" si="111">INT($C$40)+3</f>
        <v>4</v>
      </c>
      <c r="D782" s="84"/>
      <c r="E782" s="79"/>
      <c r="F782" s="79" t="s">
        <v>1839</v>
      </c>
      <c r="G782" s="84"/>
      <c r="H782" s="87" t="s">
        <v>1689</v>
      </c>
      <c r="I782" s="108" t="s">
        <v>623</v>
      </c>
      <c r="J782" s="108"/>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1"/>
        <v>4</v>
      </c>
      <c r="D783" s="84"/>
      <c r="E783" s="79"/>
      <c r="F783" s="79" t="s">
        <v>1840</v>
      </c>
      <c r="G783" s="84"/>
      <c r="H783" s="87" t="s">
        <v>1691</v>
      </c>
      <c r="I783" s="108" t="s">
        <v>623</v>
      </c>
      <c r="J783" s="108"/>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1"/>
        <v>4</v>
      </c>
      <c r="D784" s="84"/>
      <c r="E784" s="79"/>
      <c r="F784" s="79" t="s">
        <v>1841</v>
      </c>
      <c r="G784" s="84"/>
      <c r="H784" s="87" t="s">
        <v>1693</v>
      </c>
      <c r="I784" s="108" t="s">
        <v>623</v>
      </c>
      <c r="J784" s="108"/>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1"/>
        <v>4</v>
      </c>
      <c r="D785" s="84"/>
      <c r="E785" s="79"/>
      <c r="F785" s="79" t="s">
        <v>1842</v>
      </c>
      <c r="G785" s="84"/>
      <c r="H785" s="87" t="s">
        <v>1695</v>
      </c>
      <c r="I785" s="108" t="s">
        <v>623</v>
      </c>
      <c r="J785" s="108"/>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2">A782+1</f>
        <v>2</v>
      </c>
      <c r="B786" s="63"/>
      <c r="C786" s="56">
        <f t="shared" si="111"/>
        <v>4</v>
      </c>
      <c r="D786" s="84"/>
      <c r="E786" s="79"/>
      <c r="F786" s="79" t="s">
        <v>1843</v>
      </c>
      <c r="G786" s="84"/>
      <c r="H786" s="87" t="s">
        <v>1689</v>
      </c>
      <c r="I786" s="108" t="s">
        <v>623</v>
      </c>
      <c r="J786" s="108"/>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2"/>
        <v>2</v>
      </c>
      <c r="B787" s="63"/>
      <c r="C787" s="56">
        <f t="shared" si="111"/>
        <v>4</v>
      </c>
      <c r="D787" s="84"/>
      <c r="E787" s="79"/>
      <c r="F787" s="79" t="s">
        <v>1844</v>
      </c>
      <c r="G787" s="84"/>
      <c r="H787" s="87" t="s">
        <v>1691</v>
      </c>
      <c r="I787" s="108" t="s">
        <v>623</v>
      </c>
      <c r="J787" s="108"/>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2"/>
        <v>2</v>
      </c>
      <c r="B788" s="63"/>
      <c r="C788" s="56">
        <f t="shared" si="111"/>
        <v>4</v>
      </c>
      <c r="D788" s="84"/>
      <c r="E788" s="79"/>
      <c r="F788" s="79" t="s">
        <v>1845</v>
      </c>
      <c r="G788" s="84"/>
      <c r="H788" s="87" t="s">
        <v>1693</v>
      </c>
      <c r="I788" s="108" t="s">
        <v>623</v>
      </c>
      <c r="J788" s="108"/>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2"/>
        <v>2</v>
      </c>
      <c r="B789" s="63"/>
      <c r="C789" s="56">
        <f t="shared" si="111"/>
        <v>4</v>
      </c>
      <c r="D789" s="84"/>
      <c r="E789" s="79"/>
      <c r="F789" s="79" t="s">
        <v>1846</v>
      </c>
      <c r="G789" s="84"/>
      <c r="H789" s="87" t="s">
        <v>1695</v>
      </c>
      <c r="I789" s="108" t="s">
        <v>623</v>
      </c>
      <c r="J789" s="108"/>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2"/>
        <v>3</v>
      </c>
      <c r="B790" s="63"/>
      <c r="C790" s="56">
        <f t="shared" si="111"/>
        <v>4</v>
      </c>
      <c r="D790" s="84"/>
      <c r="E790" s="79"/>
      <c r="F790" s="79" t="s">
        <v>1847</v>
      </c>
      <c r="G790" s="84"/>
      <c r="H790" s="87" t="s">
        <v>1689</v>
      </c>
      <c r="I790" s="108" t="s">
        <v>623</v>
      </c>
      <c r="J790" s="108"/>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2"/>
        <v>3</v>
      </c>
      <c r="B791" s="63"/>
      <c r="C791" s="56">
        <f t="shared" si="111"/>
        <v>4</v>
      </c>
      <c r="D791" s="84"/>
      <c r="E791" s="79"/>
      <c r="F791" s="79" t="s">
        <v>1848</v>
      </c>
      <c r="G791" s="84"/>
      <c r="H791" s="87" t="s">
        <v>1691</v>
      </c>
      <c r="I791" s="108" t="s">
        <v>623</v>
      </c>
      <c r="J791" s="108"/>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3</v>
      </c>
      <c r="B792" s="63"/>
      <c r="C792" s="56">
        <f t="shared" si="111"/>
        <v>4</v>
      </c>
      <c r="D792" s="84"/>
      <c r="E792" s="79"/>
      <c r="F792" s="79" t="s">
        <v>1849</v>
      </c>
      <c r="G792" s="84"/>
      <c r="H792" s="87" t="s">
        <v>1693</v>
      </c>
      <c r="I792" s="108" t="s">
        <v>623</v>
      </c>
      <c r="J792" s="108"/>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3</v>
      </c>
      <c r="B793" s="63"/>
      <c r="C793" s="56">
        <f t="shared" si="111"/>
        <v>4</v>
      </c>
      <c r="D793" s="84"/>
      <c r="E793" s="79"/>
      <c r="F793" s="79" t="s">
        <v>1850</v>
      </c>
      <c r="G793" s="84"/>
      <c r="H793" s="87" t="s">
        <v>1695</v>
      </c>
      <c r="I793" s="108" t="s">
        <v>623</v>
      </c>
      <c r="J793" s="108"/>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1"/>
        <v>4</v>
      </c>
      <c r="D794" s="84"/>
      <c r="E794" s="79"/>
      <c r="F794" s="79" t="s">
        <v>1851</v>
      </c>
      <c r="G794" s="84"/>
      <c r="H794" s="87" t="s">
        <v>1689</v>
      </c>
      <c r="I794" s="108" t="s">
        <v>623</v>
      </c>
      <c r="J794" s="108"/>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1"/>
        <v>4</v>
      </c>
      <c r="D795" s="84"/>
      <c r="E795" s="79"/>
      <c r="F795" s="79" t="s">
        <v>1852</v>
      </c>
      <c r="G795" s="84"/>
      <c r="H795" s="87" t="s">
        <v>1691</v>
      </c>
      <c r="I795" s="108" t="s">
        <v>623</v>
      </c>
      <c r="J795" s="108"/>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1"/>
        <v>4</v>
      </c>
      <c r="D796" s="84"/>
      <c r="E796" s="79"/>
      <c r="F796" s="79" t="s">
        <v>1853</v>
      </c>
      <c r="G796" s="84"/>
      <c r="H796" s="87" t="s">
        <v>1693</v>
      </c>
      <c r="I796" s="108" t="s">
        <v>623</v>
      </c>
      <c r="J796" s="108"/>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1"/>
        <v>4</v>
      </c>
      <c r="D797" s="84"/>
      <c r="E797" s="79"/>
      <c r="F797" s="79" t="s">
        <v>1854</v>
      </c>
      <c r="G797" s="84"/>
      <c r="H797" s="87" t="s">
        <v>1695</v>
      </c>
      <c r="I797" s="108" t="s">
        <v>623</v>
      </c>
      <c r="J797" s="108"/>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3">A794+1</f>
        <v>2</v>
      </c>
      <c r="B798" s="63"/>
      <c r="C798" s="56">
        <f t="shared" si="111"/>
        <v>4</v>
      </c>
      <c r="D798" s="84"/>
      <c r="E798" s="79"/>
      <c r="F798" s="79" t="s">
        <v>1855</v>
      </c>
      <c r="G798" s="84"/>
      <c r="H798" s="87" t="s">
        <v>1689</v>
      </c>
      <c r="I798" s="108" t="s">
        <v>623</v>
      </c>
      <c r="J798" s="108"/>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3"/>
        <v>2</v>
      </c>
      <c r="B799" s="63"/>
      <c r="C799" s="56">
        <f t="shared" si="111"/>
        <v>4</v>
      </c>
      <c r="D799" s="84"/>
      <c r="E799" s="79"/>
      <c r="F799" s="79" t="s">
        <v>1856</v>
      </c>
      <c r="G799" s="84"/>
      <c r="H799" s="87" t="s">
        <v>1691</v>
      </c>
      <c r="I799" s="108" t="s">
        <v>623</v>
      </c>
      <c r="J799" s="108"/>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3"/>
        <v>2</v>
      </c>
      <c r="B800" s="63"/>
      <c r="C800" s="56">
        <f t="shared" si="111"/>
        <v>4</v>
      </c>
      <c r="D800" s="84"/>
      <c r="E800" s="79"/>
      <c r="F800" s="79" t="s">
        <v>1857</v>
      </c>
      <c r="G800" s="84"/>
      <c r="H800" s="87" t="s">
        <v>1693</v>
      </c>
      <c r="I800" s="108" t="s">
        <v>623</v>
      </c>
      <c r="J800" s="108"/>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3"/>
        <v>2</v>
      </c>
      <c r="B801" s="63"/>
      <c r="C801" s="56">
        <f t="shared" si="111"/>
        <v>4</v>
      </c>
      <c r="D801" s="84"/>
      <c r="E801" s="79"/>
      <c r="F801" s="79" t="s">
        <v>1858</v>
      </c>
      <c r="G801" s="84"/>
      <c r="H801" s="87" t="s">
        <v>1695</v>
      </c>
      <c r="I801" s="108" t="s">
        <v>623</v>
      </c>
      <c r="J801" s="108"/>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3"/>
        <v>3</v>
      </c>
      <c r="B802" s="63"/>
      <c r="C802" s="56">
        <f t="shared" si="111"/>
        <v>4</v>
      </c>
      <c r="D802" s="84"/>
      <c r="E802" s="79"/>
      <c r="F802" s="79" t="s">
        <v>1859</v>
      </c>
      <c r="G802" s="84"/>
      <c r="H802" s="87" t="s">
        <v>1689</v>
      </c>
      <c r="I802" s="108" t="s">
        <v>623</v>
      </c>
      <c r="J802" s="108"/>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3"/>
        <v>3</v>
      </c>
      <c r="B803" s="63"/>
      <c r="C803" s="56">
        <f t="shared" si="111"/>
        <v>4</v>
      </c>
      <c r="D803" s="84"/>
      <c r="E803" s="79"/>
      <c r="F803" s="79" t="s">
        <v>1860</v>
      </c>
      <c r="G803" s="84"/>
      <c r="H803" s="87" t="s">
        <v>1691</v>
      </c>
      <c r="I803" s="108" t="s">
        <v>623</v>
      </c>
      <c r="J803" s="108"/>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3</v>
      </c>
      <c r="B804" s="63"/>
      <c r="C804" s="56">
        <f t="shared" si="111"/>
        <v>4</v>
      </c>
      <c r="D804" s="84"/>
      <c r="E804" s="79"/>
      <c r="F804" s="79" t="s">
        <v>1861</v>
      </c>
      <c r="G804" s="84"/>
      <c r="H804" s="87" t="s">
        <v>1693</v>
      </c>
      <c r="I804" s="108" t="s">
        <v>623</v>
      </c>
      <c r="J804" s="108"/>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3</v>
      </c>
      <c r="B805" s="63"/>
      <c r="C805" s="56">
        <f t="shared" si="111"/>
        <v>4</v>
      </c>
      <c r="D805" s="84"/>
      <c r="E805" s="79"/>
      <c r="F805" s="79" t="s">
        <v>1862</v>
      </c>
      <c r="G805" s="84"/>
      <c r="H805" s="87" t="s">
        <v>1695</v>
      </c>
      <c r="I805" s="108" t="s">
        <v>623</v>
      </c>
      <c r="J805" s="108"/>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1"/>
        <v>4</v>
      </c>
      <c r="D806" s="84"/>
      <c r="E806" s="79"/>
      <c r="F806" s="79" t="s">
        <v>1863</v>
      </c>
      <c r="G806" s="84"/>
      <c r="H806" s="87" t="s">
        <v>1689</v>
      </c>
      <c r="I806" s="108" t="s">
        <v>623</v>
      </c>
      <c r="J806" s="108"/>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1"/>
        <v>4</v>
      </c>
      <c r="D807" s="84"/>
      <c r="E807" s="79"/>
      <c r="F807" s="79" t="s">
        <v>1864</v>
      </c>
      <c r="G807" s="84"/>
      <c r="H807" s="87" t="s">
        <v>1691</v>
      </c>
      <c r="I807" s="108" t="s">
        <v>623</v>
      </c>
      <c r="J807" s="108"/>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1"/>
        <v>4</v>
      </c>
      <c r="D808" s="84"/>
      <c r="E808" s="79"/>
      <c r="F808" s="79" t="s">
        <v>1865</v>
      </c>
      <c r="G808" s="84"/>
      <c r="H808" s="87" t="s">
        <v>1693</v>
      </c>
      <c r="I808" s="108" t="s">
        <v>623</v>
      </c>
      <c r="J808" s="108"/>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1"/>
        <v>4</v>
      </c>
      <c r="D809" s="84"/>
      <c r="E809" s="79"/>
      <c r="F809" s="79" t="s">
        <v>1866</v>
      </c>
      <c r="G809" s="84"/>
      <c r="H809" s="87" t="s">
        <v>1695</v>
      </c>
      <c r="I809" s="108" t="s">
        <v>623</v>
      </c>
      <c r="J809" s="108"/>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4">A806+1</f>
        <v>2</v>
      </c>
      <c r="B810" s="63"/>
      <c r="C810" s="56">
        <f t="shared" si="111"/>
        <v>4</v>
      </c>
      <c r="D810" s="84"/>
      <c r="E810" s="79"/>
      <c r="F810" s="79" t="s">
        <v>1867</v>
      </c>
      <c r="G810" s="84"/>
      <c r="H810" s="87" t="s">
        <v>1689</v>
      </c>
      <c r="I810" s="108" t="s">
        <v>623</v>
      </c>
      <c r="J810" s="108"/>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4"/>
        <v>2</v>
      </c>
      <c r="B811" s="63"/>
      <c r="C811" s="56">
        <f t="shared" si="111"/>
        <v>4</v>
      </c>
      <c r="D811" s="84"/>
      <c r="E811" s="79"/>
      <c r="F811" s="79" t="s">
        <v>1868</v>
      </c>
      <c r="G811" s="84"/>
      <c r="H811" s="87" t="s">
        <v>1691</v>
      </c>
      <c r="I811" s="108" t="s">
        <v>623</v>
      </c>
      <c r="J811" s="108"/>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4"/>
        <v>2</v>
      </c>
      <c r="B812" s="63"/>
      <c r="C812" s="56">
        <f t="shared" si="111"/>
        <v>4</v>
      </c>
      <c r="D812" s="84"/>
      <c r="E812" s="79"/>
      <c r="F812" s="79" t="s">
        <v>1869</v>
      </c>
      <c r="G812" s="84"/>
      <c r="H812" s="87" t="s">
        <v>1693</v>
      </c>
      <c r="I812" s="108" t="s">
        <v>623</v>
      </c>
      <c r="J812" s="108"/>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4"/>
        <v>2</v>
      </c>
      <c r="B813" s="63"/>
      <c r="C813" s="56">
        <f t="shared" si="111"/>
        <v>4</v>
      </c>
      <c r="D813" s="84"/>
      <c r="E813" s="79"/>
      <c r="F813" s="79" t="s">
        <v>1870</v>
      </c>
      <c r="G813" s="84"/>
      <c r="H813" s="87" t="s">
        <v>1695</v>
      </c>
      <c r="I813" s="108" t="s">
        <v>623</v>
      </c>
      <c r="J813" s="108"/>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4"/>
        <v>3</v>
      </c>
      <c r="B814" s="63"/>
      <c r="C814" s="56">
        <f t="shared" si="111"/>
        <v>4</v>
      </c>
      <c r="D814" s="84"/>
      <c r="E814" s="79"/>
      <c r="F814" s="79" t="s">
        <v>1871</v>
      </c>
      <c r="G814" s="84"/>
      <c r="H814" s="87" t="s">
        <v>1689</v>
      </c>
      <c r="I814" s="108" t="s">
        <v>623</v>
      </c>
      <c r="J814" s="108"/>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4"/>
        <v>3</v>
      </c>
      <c r="B815" s="63"/>
      <c r="C815" s="56">
        <f t="shared" si="111"/>
        <v>4</v>
      </c>
      <c r="D815" s="84"/>
      <c r="E815" s="79"/>
      <c r="F815" s="79" t="s">
        <v>1872</v>
      </c>
      <c r="G815" s="84"/>
      <c r="H815" s="87" t="s">
        <v>1691</v>
      </c>
      <c r="I815" s="108" t="s">
        <v>623</v>
      </c>
      <c r="J815" s="108"/>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3</v>
      </c>
      <c r="B816" s="63"/>
      <c r="C816" s="56">
        <f t="shared" si="111"/>
        <v>4</v>
      </c>
      <c r="D816" s="84"/>
      <c r="E816" s="79"/>
      <c r="F816" s="79" t="s">
        <v>1873</v>
      </c>
      <c r="G816" s="84"/>
      <c r="H816" s="87" t="s">
        <v>1693</v>
      </c>
      <c r="I816" s="108" t="s">
        <v>623</v>
      </c>
      <c r="J816" s="108"/>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3</v>
      </c>
      <c r="B817" s="63"/>
      <c r="C817" s="56">
        <f t="shared" si="111"/>
        <v>4</v>
      </c>
      <c r="D817" s="84"/>
      <c r="E817" s="79"/>
      <c r="F817" s="79" t="s">
        <v>1874</v>
      </c>
      <c r="G817" s="84"/>
      <c r="H817" s="87" t="s">
        <v>1695</v>
      </c>
      <c r="I817" s="108" t="s">
        <v>623</v>
      </c>
      <c r="J817" s="108"/>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1"/>
        <v>4</v>
      </c>
      <c r="D818" s="84"/>
      <c r="E818" s="79"/>
      <c r="F818" s="79" t="s">
        <v>1875</v>
      </c>
      <c r="G818" s="84"/>
      <c r="H818" s="87" t="s">
        <v>1689</v>
      </c>
      <c r="I818" s="108" t="s">
        <v>623</v>
      </c>
      <c r="J818" s="108"/>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1"/>
        <v>4</v>
      </c>
      <c r="D819" s="84"/>
      <c r="E819" s="79"/>
      <c r="F819" s="79" t="s">
        <v>1876</v>
      </c>
      <c r="G819" s="84"/>
      <c r="H819" s="87" t="s">
        <v>1691</v>
      </c>
      <c r="I819" s="108" t="s">
        <v>623</v>
      </c>
      <c r="J819" s="108"/>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1"/>
        <v>4</v>
      </c>
      <c r="D820" s="84"/>
      <c r="E820" s="79"/>
      <c r="F820" s="79" t="s">
        <v>1877</v>
      </c>
      <c r="G820" s="84"/>
      <c r="H820" s="87" t="s">
        <v>1693</v>
      </c>
      <c r="I820" s="108" t="s">
        <v>623</v>
      </c>
      <c r="J820" s="108"/>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1"/>
        <v>4</v>
      </c>
      <c r="D821" s="84"/>
      <c r="E821" s="79"/>
      <c r="F821" s="79" t="s">
        <v>1878</v>
      </c>
      <c r="G821" s="84"/>
      <c r="H821" s="87" t="s">
        <v>1695</v>
      </c>
      <c r="I821" s="108" t="s">
        <v>623</v>
      </c>
      <c r="J821" s="108"/>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5">A818+1</f>
        <v>2</v>
      </c>
      <c r="B822" s="63"/>
      <c r="C822" s="56">
        <f t="shared" si="111"/>
        <v>4</v>
      </c>
      <c r="D822" s="84"/>
      <c r="E822" s="79"/>
      <c r="F822" s="79" t="s">
        <v>1879</v>
      </c>
      <c r="G822" s="84"/>
      <c r="H822" s="87" t="s">
        <v>1689</v>
      </c>
      <c r="I822" s="108" t="s">
        <v>623</v>
      </c>
      <c r="J822" s="108"/>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5"/>
        <v>2</v>
      </c>
      <c r="B823" s="63"/>
      <c r="C823" s="56">
        <f t="shared" si="111"/>
        <v>4</v>
      </c>
      <c r="D823" s="84"/>
      <c r="E823" s="79"/>
      <c r="F823" s="79" t="s">
        <v>1880</v>
      </c>
      <c r="G823" s="84"/>
      <c r="H823" s="87" t="s">
        <v>1691</v>
      </c>
      <c r="I823" s="108" t="s">
        <v>623</v>
      </c>
      <c r="J823" s="108"/>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5"/>
        <v>2</v>
      </c>
      <c r="B824" s="63"/>
      <c r="C824" s="56">
        <f t="shared" si="111"/>
        <v>4</v>
      </c>
      <c r="D824" s="84"/>
      <c r="E824" s="79"/>
      <c r="F824" s="79" t="s">
        <v>1881</v>
      </c>
      <c r="G824" s="84"/>
      <c r="H824" s="87" t="s">
        <v>1693</v>
      </c>
      <c r="I824" s="108" t="s">
        <v>623</v>
      </c>
      <c r="J824" s="108"/>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5"/>
        <v>2</v>
      </c>
      <c r="B825" s="63"/>
      <c r="C825" s="56">
        <f t="shared" si="111"/>
        <v>4</v>
      </c>
      <c r="D825" s="84"/>
      <c r="E825" s="79"/>
      <c r="F825" s="79" t="s">
        <v>1882</v>
      </c>
      <c r="G825" s="84"/>
      <c r="H825" s="87" t="s">
        <v>1695</v>
      </c>
      <c r="I825" s="108" t="s">
        <v>623</v>
      </c>
      <c r="J825" s="108"/>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5"/>
        <v>3</v>
      </c>
      <c r="B826" s="63"/>
      <c r="C826" s="56">
        <f t="shared" si="111"/>
        <v>4</v>
      </c>
      <c r="D826" s="84"/>
      <c r="E826" s="79"/>
      <c r="F826" s="79" t="s">
        <v>1883</v>
      </c>
      <c r="G826" s="84"/>
      <c r="H826" s="87" t="s">
        <v>1779</v>
      </c>
      <c r="I826" s="108" t="s">
        <v>623</v>
      </c>
      <c r="J826" s="108"/>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5"/>
        <v>3</v>
      </c>
      <c r="B827" s="63"/>
      <c r="C827" s="56">
        <f t="shared" si="111"/>
        <v>4</v>
      </c>
      <c r="D827" s="84"/>
      <c r="E827" s="79"/>
      <c r="F827" s="79" t="s">
        <v>1884</v>
      </c>
      <c r="G827" s="84"/>
      <c r="H827" s="87" t="s">
        <v>1691</v>
      </c>
      <c r="I827" s="108" t="s">
        <v>623</v>
      </c>
      <c r="J827" s="108"/>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3</v>
      </c>
      <c r="B828" s="63"/>
      <c r="C828" s="56">
        <f t="shared" si="111"/>
        <v>4</v>
      </c>
      <c r="D828" s="84"/>
      <c r="E828" s="79"/>
      <c r="F828" s="79" t="s">
        <v>1885</v>
      </c>
      <c r="G828" s="84"/>
      <c r="H828" s="87" t="s">
        <v>1693</v>
      </c>
      <c r="I828" s="108" t="s">
        <v>623</v>
      </c>
      <c r="J828" s="108"/>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3</v>
      </c>
      <c r="B829" s="63"/>
      <c r="C829" s="56">
        <f t="shared" si="111"/>
        <v>4</v>
      </c>
      <c r="D829" s="84"/>
      <c r="E829" s="79"/>
      <c r="F829" s="79" t="s">
        <v>1886</v>
      </c>
      <c r="G829" s="84"/>
      <c r="H829" s="87" t="s">
        <v>1695</v>
      </c>
      <c r="I829" s="108" t="s">
        <v>623</v>
      </c>
      <c r="J829" s="108"/>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1"/>
        <v>4</v>
      </c>
      <c r="D830" s="84"/>
      <c r="E830" s="79"/>
      <c r="F830" s="79" t="s">
        <v>1887</v>
      </c>
      <c r="G830" s="84"/>
      <c r="H830" s="87" t="s">
        <v>1784</v>
      </c>
      <c r="I830" s="108" t="s">
        <v>623</v>
      </c>
      <c r="J830" s="108"/>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1"/>
        <v>4</v>
      </c>
      <c r="D831" s="84"/>
      <c r="E831" s="79"/>
      <c r="F831" s="79" t="s">
        <v>1888</v>
      </c>
      <c r="G831" s="84"/>
      <c r="H831" s="87" t="s">
        <v>1691</v>
      </c>
      <c r="I831" s="108" t="s">
        <v>623</v>
      </c>
      <c r="J831" s="108"/>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1"/>
        <v>4</v>
      </c>
      <c r="D832" s="84"/>
      <c r="E832" s="79"/>
      <c r="F832" s="79" t="s">
        <v>1889</v>
      </c>
      <c r="G832" s="84"/>
      <c r="H832" s="87" t="s">
        <v>1693</v>
      </c>
      <c r="I832" s="108" t="s">
        <v>623</v>
      </c>
      <c r="J832" s="108"/>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1"/>
        <v>4</v>
      </c>
      <c r="D833" s="84"/>
      <c r="E833" s="79"/>
      <c r="F833" s="79" t="s">
        <v>1890</v>
      </c>
      <c r="G833" s="84"/>
      <c r="H833" s="87" t="s">
        <v>1695</v>
      </c>
      <c r="I833" s="108" t="s">
        <v>623</v>
      </c>
      <c r="J833" s="108"/>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6">A830+1</f>
        <v>2</v>
      </c>
      <c r="B834" s="63"/>
      <c r="C834" s="56">
        <f t="shared" si="111"/>
        <v>4</v>
      </c>
      <c r="D834" s="84"/>
      <c r="E834" s="79"/>
      <c r="F834" s="79" t="s">
        <v>1891</v>
      </c>
      <c r="G834" s="84"/>
      <c r="H834" s="87" t="s">
        <v>1689</v>
      </c>
      <c r="I834" s="108" t="s">
        <v>623</v>
      </c>
      <c r="J834" s="108"/>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6"/>
        <v>2</v>
      </c>
      <c r="B835" s="63"/>
      <c r="C835" s="56">
        <f t="shared" si="111"/>
        <v>4</v>
      </c>
      <c r="D835" s="84"/>
      <c r="E835" s="79"/>
      <c r="F835" s="79" t="s">
        <v>1892</v>
      </c>
      <c r="G835" s="84"/>
      <c r="H835" s="87" t="s">
        <v>1691</v>
      </c>
      <c r="I835" s="108" t="s">
        <v>623</v>
      </c>
      <c r="J835" s="108"/>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6"/>
        <v>2</v>
      </c>
      <c r="B836" s="63"/>
      <c r="C836" s="56">
        <f t="shared" si="111"/>
        <v>4</v>
      </c>
      <c r="D836" s="84"/>
      <c r="E836" s="79"/>
      <c r="F836" s="79" t="s">
        <v>1893</v>
      </c>
      <c r="G836" s="84"/>
      <c r="H836" s="87" t="s">
        <v>1693</v>
      </c>
      <c r="I836" s="108" t="s">
        <v>623</v>
      </c>
      <c r="J836" s="108"/>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6"/>
        <v>2</v>
      </c>
      <c r="B837" s="63"/>
      <c r="C837" s="56">
        <f t="shared" si="111"/>
        <v>4</v>
      </c>
      <c r="D837" s="84"/>
      <c r="E837" s="79"/>
      <c r="F837" s="79" t="s">
        <v>1894</v>
      </c>
      <c r="G837" s="84"/>
      <c r="H837" s="87" t="s">
        <v>1695</v>
      </c>
      <c r="I837" s="108" t="s">
        <v>623</v>
      </c>
      <c r="J837" s="108"/>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6"/>
        <v>3</v>
      </c>
      <c r="B838" s="63"/>
      <c r="C838" s="56">
        <f t="shared" si="111"/>
        <v>4</v>
      </c>
      <c r="D838" s="84"/>
      <c r="E838" s="79"/>
      <c r="F838" s="79" t="s">
        <v>1895</v>
      </c>
      <c r="G838" s="84"/>
      <c r="H838" s="87" t="s">
        <v>1689</v>
      </c>
      <c r="I838" s="108" t="s">
        <v>623</v>
      </c>
      <c r="J838" s="108"/>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6"/>
        <v>3</v>
      </c>
      <c r="B839" s="63"/>
      <c r="C839" s="56">
        <f t="shared" si="111"/>
        <v>4</v>
      </c>
      <c r="D839" s="84"/>
      <c r="E839" s="79"/>
      <c r="F839" s="79" t="s">
        <v>1896</v>
      </c>
      <c r="G839" s="84"/>
      <c r="H839" s="87" t="s">
        <v>1691</v>
      </c>
      <c r="I839" s="108" t="s">
        <v>623</v>
      </c>
      <c r="J839" s="108"/>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3</v>
      </c>
      <c r="B840" s="63"/>
      <c r="C840" s="56">
        <f t="shared" si="111"/>
        <v>4</v>
      </c>
      <c r="D840" s="84"/>
      <c r="E840" s="79"/>
      <c r="F840" s="79" t="s">
        <v>1897</v>
      </c>
      <c r="G840" s="84"/>
      <c r="H840" s="87" t="s">
        <v>1693</v>
      </c>
      <c r="I840" s="108" t="s">
        <v>623</v>
      </c>
      <c r="J840" s="108"/>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3</v>
      </c>
      <c r="B841" s="63"/>
      <c r="C841" s="56">
        <f t="shared" si="111"/>
        <v>4</v>
      </c>
      <c r="D841" s="84"/>
      <c r="E841" s="79"/>
      <c r="F841" s="79" t="s">
        <v>1898</v>
      </c>
      <c r="G841" s="84"/>
      <c r="H841" s="87" t="s">
        <v>1695</v>
      </c>
      <c r="I841" s="108" t="s">
        <v>623</v>
      </c>
      <c r="J841" s="108"/>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1"/>
        <v>4</v>
      </c>
      <c r="D842" s="84"/>
      <c r="E842" s="79"/>
      <c r="F842" s="79" t="s">
        <v>1899</v>
      </c>
      <c r="G842" s="84"/>
      <c r="H842" s="87" t="s">
        <v>1689</v>
      </c>
      <c r="I842" s="108" t="s">
        <v>623</v>
      </c>
      <c r="J842" s="108"/>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1"/>
        <v>4</v>
      </c>
      <c r="D843" s="84"/>
      <c r="E843" s="79"/>
      <c r="F843" s="79" t="s">
        <v>1900</v>
      </c>
      <c r="G843" s="84"/>
      <c r="H843" s="87" t="s">
        <v>1691</v>
      </c>
      <c r="I843" s="108" t="s">
        <v>623</v>
      </c>
      <c r="J843" s="108"/>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1"/>
        <v>4</v>
      </c>
      <c r="D844" s="84"/>
      <c r="E844" s="79"/>
      <c r="F844" s="79" t="s">
        <v>1901</v>
      </c>
      <c r="G844" s="84"/>
      <c r="H844" s="87" t="s">
        <v>1693</v>
      </c>
      <c r="I844" s="108" t="s">
        <v>623</v>
      </c>
      <c r="J844" s="108"/>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1"/>
        <v>4</v>
      </c>
      <c r="D845" s="84"/>
      <c r="E845" s="79"/>
      <c r="F845" s="79" t="s">
        <v>1902</v>
      </c>
      <c r="G845" s="84"/>
      <c r="H845" s="87" t="s">
        <v>1695</v>
      </c>
      <c r="I845" s="108" t="s">
        <v>623</v>
      </c>
      <c r="J845" s="108"/>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7">A842+1</f>
        <v>2</v>
      </c>
      <c r="B846" s="63"/>
      <c r="C846" s="56">
        <f t="shared" ref="C846:C853" si="118">INT($C$40)+3</f>
        <v>4</v>
      </c>
      <c r="D846" s="84"/>
      <c r="E846" s="79"/>
      <c r="F846" s="79" t="s">
        <v>1903</v>
      </c>
      <c r="G846" s="84"/>
      <c r="H846" s="87" t="s">
        <v>1813</v>
      </c>
      <c r="I846" s="108" t="s">
        <v>623</v>
      </c>
      <c r="J846" s="108"/>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7"/>
        <v>2</v>
      </c>
      <c r="B847" s="63"/>
      <c r="C847" s="56">
        <f t="shared" si="118"/>
        <v>4</v>
      </c>
      <c r="D847" s="84"/>
      <c r="E847" s="79"/>
      <c r="F847" s="79" t="s">
        <v>1904</v>
      </c>
      <c r="G847" s="84"/>
      <c r="H847" s="87" t="s">
        <v>1691</v>
      </c>
      <c r="I847" s="108" t="s">
        <v>623</v>
      </c>
      <c r="J847" s="108"/>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7"/>
        <v>2</v>
      </c>
      <c r="B848" s="63"/>
      <c r="C848" s="56">
        <f t="shared" si="118"/>
        <v>4</v>
      </c>
      <c r="D848" s="84"/>
      <c r="E848" s="79"/>
      <c r="F848" s="79" t="s">
        <v>1905</v>
      </c>
      <c r="G848" s="84"/>
      <c r="H848" s="87" t="s">
        <v>1693</v>
      </c>
      <c r="I848" s="108" t="s">
        <v>623</v>
      </c>
      <c r="J848" s="108"/>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7"/>
        <v>2</v>
      </c>
      <c r="B849" s="63"/>
      <c r="C849" s="56">
        <f t="shared" si="118"/>
        <v>4</v>
      </c>
      <c r="D849" s="84"/>
      <c r="E849" s="79"/>
      <c r="F849" s="79" t="s">
        <v>1906</v>
      </c>
      <c r="G849" s="84"/>
      <c r="H849" s="87" t="s">
        <v>1695</v>
      </c>
      <c r="I849" s="108" t="s">
        <v>623</v>
      </c>
      <c r="J849" s="108"/>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7"/>
        <v>3</v>
      </c>
      <c r="B850" s="63"/>
      <c r="C850" s="56">
        <f t="shared" si="118"/>
        <v>4</v>
      </c>
      <c r="D850" s="84"/>
      <c r="E850" s="79"/>
      <c r="F850" s="79" t="s">
        <v>1907</v>
      </c>
      <c r="G850" s="84"/>
      <c r="H850" s="87" t="s">
        <v>1818</v>
      </c>
      <c r="I850" s="108" t="s">
        <v>623</v>
      </c>
      <c r="J850" s="108"/>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7"/>
        <v>3</v>
      </c>
      <c r="B851" s="63"/>
      <c r="C851" s="56">
        <f t="shared" si="118"/>
        <v>4</v>
      </c>
      <c r="D851" s="84"/>
      <c r="E851" s="79"/>
      <c r="F851" s="79" t="s">
        <v>1908</v>
      </c>
      <c r="G851" s="84"/>
      <c r="H851" s="87" t="s">
        <v>1820</v>
      </c>
      <c r="I851" s="108" t="s">
        <v>623</v>
      </c>
      <c r="J851" s="108"/>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3</v>
      </c>
      <c r="B852" s="63"/>
      <c r="C852" s="56">
        <f t="shared" si="118"/>
        <v>4</v>
      </c>
      <c r="D852" s="84"/>
      <c r="E852" s="79"/>
      <c r="F852" s="79" t="s">
        <v>1909</v>
      </c>
      <c r="G852" s="84"/>
      <c r="H852" s="87" t="s">
        <v>1822</v>
      </c>
      <c r="I852" s="108" t="s">
        <v>623</v>
      </c>
      <c r="J852" s="108"/>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3</v>
      </c>
      <c r="B853" s="63"/>
      <c r="C853" s="56">
        <f t="shared" si="118"/>
        <v>4</v>
      </c>
      <c r="D853" s="84"/>
      <c r="E853" s="79"/>
      <c r="F853" s="79" t="s">
        <v>1910</v>
      </c>
      <c r="G853" s="84"/>
      <c r="H853" s="87" t="s">
        <v>1824</v>
      </c>
      <c r="I853" s="108" t="s">
        <v>623</v>
      </c>
      <c r="J853" s="108"/>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25">
      <c r="A854" s="54"/>
      <c r="B854" s="63"/>
      <c r="C854" s="56">
        <f>INT($C$40)+2</f>
        <v>3</v>
      </c>
      <c r="D854" s="84"/>
      <c r="E854" s="79" t="s">
        <v>1911</v>
      </c>
      <c r="F854" s="79" t="s">
        <v>1912</v>
      </c>
      <c r="G854" s="84"/>
      <c r="H854" s="87" t="s">
        <v>1913</v>
      </c>
      <c r="I854" s="108" t="s">
        <v>623</v>
      </c>
      <c r="J854" s="108"/>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6" t="s">
        <v>1914</v>
      </c>
      <c r="AE854" s="87"/>
      <c r="AF854" s="87">
        <v>1</v>
      </c>
      <c r="AG854" s="87">
        <v>1</v>
      </c>
      <c r="AH854" s="84"/>
      <c r="AI854" s="66"/>
      <c r="AJ854" s="54"/>
      <c r="AK854" s="54"/>
      <c r="AL854" s="54"/>
    </row>
    <row r="855" spans="1:38" outlineLevel="2" x14ac:dyDescent="0.25">
      <c r="A855" s="54"/>
      <c r="B855" s="63"/>
      <c r="C855" s="56">
        <f>INT($C$40)+2</f>
        <v>3</v>
      </c>
      <c r="D855" s="84"/>
      <c r="E855" s="79"/>
      <c r="F855" s="79" t="s">
        <v>1915</v>
      </c>
      <c r="G855" s="84"/>
      <c r="H855" s="87" t="s">
        <v>1916</v>
      </c>
      <c r="I855" s="108" t="s">
        <v>623</v>
      </c>
      <c r="J855" s="108"/>
      <c r="K855" s="109">
        <v>0.52400000000000002</v>
      </c>
      <c r="L855" s="109">
        <v>0.65500000000000003</v>
      </c>
      <c r="M855" s="109">
        <v>0.41599999999999998</v>
      </c>
      <c r="N855" s="109">
        <v>0.41599999999999998</v>
      </c>
      <c r="O855" s="109">
        <v>0.41599999999999998</v>
      </c>
      <c r="P855" s="109">
        <v>0.57699999999999996</v>
      </c>
      <c r="Q855" s="87"/>
      <c r="R855" s="87" t="s">
        <v>673</v>
      </c>
      <c r="S855" s="87" t="s">
        <v>673</v>
      </c>
      <c r="T855" s="87"/>
      <c r="U855" s="311">
        <f t="shared" ref="U855:AB857" si="119">INDEX($K855:$Q855,1,U$54)</f>
        <v>0.52400000000000002</v>
      </c>
      <c r="V855" s="311">
        <f t="shared" si="119"/>
        <v>0.52400000000000002</v>
      </c>
      <c r="W855" s="311">
        <f t="shared" si="119"/>
        <v>0.52400000000000002</v>
      </c>
      <c r="X855" s="311">
        <f t="shared" si="119"/>
        <v>0.65500000000000003</v>
      </c>
      <c r="Y855" s="311">
        <f t="shared" si="119"/>
        <v>0.65500000000000003</v>
      </c>
      <c r="Z855" s="311">
        <f t="shared" si="119"/>
        <v>0.65500000000000003</v>
      </c>
      <c r="AA855" s="311">
        <f t="shared" si="119"/>
        <v>0.65500000000000003</v>
      </c>
      <c r="AB855" s="311">
        <f t="shared" si="119"/>
        <v>0.65500000000000003</v>
      </c>
      <c r="AC855" s="87"/>
      <c r="AD855" s="87"/>
      <c r="AE855" s="87"/>
      <c r="AF855" s="109">
        <v>1</v>
      </c>
      <c r="AG855" s="109">
        <v>1</v>
      </c>
      <c r="AH855" s="84"/>
      <c r="AI855" s="66"/>
      <c r="AJ855" s="54"/>
      <c r="AK855" s="54"/>
      <c r="AL855" s="54"/>
    </row>
    <row r="856" spans="1:38" outlineLevel="2" x14ac:dyDescent="0.25">
      <c r="A856" s="54"/>
      <c r="B856" s="63"/>
      <c r="C856" s="56">
        <f>INT($C$40)+2</f>
        <v>3</v>
      </c>
      <c r="D856" s="84"/>
      <c r="E856" s="79"/>
      <c r="F856" s="79" t="s">
        <v>1917</v>
      </c>
      <c r="G856" s="84"/>
      <c r="H856" s="87" t="s">
        <v>1918</v>
      </c>
      <c r="I856" s="108" t="s">
        <v>623</v>
      </c>
      <c r="J856" s="108"/>
      <c r="K856" s="109">
        <v>0.70699999999999996</v>
      </c>
      <c r="L856" s="109">
        <v>0.88400000000000001</v>
      </c>
      <c r="M856" s="87"/>
      <c r="N856" s="87"/>
      <c r="O856" s="87"/>
      <c r="P856" s="87"/>
      <c r="Q856" s="87"/>
      <c r="R856" s="87" t="s">
        <v>673</v>
      </c>
      <c r="S856" s="87"/>
      <c r="T856" s="87"/>
      <c r="U856" s="311">
        <f t="shared" si="119"/>
        <v>0.70699999999999996</v>
      </c>
      <c r="V856" s="311">
        <f t="shared" si="119"/>
        <v>0.70699999999999996</v>
      </c>
      <c r="W856" s="311">
        <f t="shared" si="119"/>
        <v>0.70699999999999996</v>
      </c>
      <c r="X856" s="311">
        <f t="shared" si="119"/>
        <v>0.88400000000000001</v>
      </c>
      <c r="Y856" s="311">
        <f t="shared" si="119"/>
        <v>0.88400000000000001</v>
      </c>
      <c r="Z856" s="311">
        <f t="shared" si="119"/>
        <v>0.88400000000000001</v>
      </c>
      <c r="AA856" s="311">
        <f t="shared" si="119"/>
        <v>0.88400000000000001</v>
      </c>
      <c r="AB856" s="311">
        <f t="shared" si="119"/>
        <v>0.88400000000000001</v>
      </c>
      <c r="AC856" s="87"/>
      <c r="AD856" s="87"/>
      <c r="AE856" s="87"/>
      <c r="AF856" s="109">
        <v>1</v>
      </c>
      <c r="AG856" s="109">
        <v>1</v>
      </c>
      <c r="AH856" s="84"/>
      <c r="AI856" s="66"/>
      <c r="AJ856" s="54"/>
      <c r="AK856" s="54"/>
      <c r="AL856" s="54"/>
    </row>
    <row r="857" spans="1:38" outlineLevel="2" x14ac:dyDescent="0.25">
      <c r="A857" s="54"/>
      <c r="B857" s="63"/>
      <c r="C857" s="56">
        <f>INT($C$40)+2</f>
        <v>3</v>
      </c>
      <c r="D857" s="84"/>
      <c r="E857" s="79"/>
      <c r="F857" s="79" t="s">
        <v>1919</v>
      </c>
      <c r="G857" s="84"/>
      <c r="H857" s="87" t="s">
        <v>1920</v>
      </c>
      <c r="I857" s="108" t="s">
        <v>623</v>
      </c>
      <c r="J857" s="108"/>
      <c r="K857" s="109">
        <v>0.89100000000000001</v>
      </c>
      <c r="L857" s="109">
        <v>1.1140000000000001</v>
      </c>
      <c r="M857" s="87"/>
      <c r="N857" s="87"/>
      <c r="O857" s="87"/>
      <c r="P857" s="87"/>
      <c r="Q857" s="87"/>
      <c r="R857" s="87" t="s">
        <v>673</v>
      </c>
      <c r="S857" s="87"/>
      <c r="T857" s="87"/>
      <c r="U857" s="311">
        <f t="shared" si="119"/>
        <v>0.89100000000000001</v>
      </c>
      <c r="V857" s="311">
        <f t="shared" si="119"/>
        <v>0.89100000000000001</v>
      </c>
      <c r="W857" s="311">
        <f t="shared" si="119"/>
        <v>0.89100000000000001</v>
      </c>
      <c r="X857" s="311">
        <f t="shared" si="119"/>
        <v>1.1140000000000001</v>
      </c>
      <c r="Y857" s="311">
        <f t="shared" si="119"/>
        <v>1.1140000000000001</v>
      </c>
      <c r="Z857" s="311">
        <f t="shared" si="119"/>
        <v>1.1140000000000001</v>
      </c>
      <c r="AA857" s="311">
        <f t="shared" si="119"/>
        <v>1.1140000000000001</v>
      </c>
      <c r="AB857" s="311">
        <f t="shared" si="119"/>
        <v>1.1140000000000001</v>
      </c>
      <c r="AC857" s="87"/>
      <c r="AD857" s="87"/>
      <c r="AE857" s="87"/>
      <c r="AF857" s="109">
        <v>1</v>
      </c>
      <c r="AG857" s="109">
        <v>1</v>
      </c>
      <c r="AH857" s="84"/>
      <c r="AI857" s="66"/>
      <c r="AJ857" s="54"/>
      <c r="AK857" s="54"/>
      <c r="AL857" s="54"/>
    </row>
    <row r="858" spans="1:38" outlineLevel="1" x14ac:dyDescent="0.25">
      <c r="A858" s="54"/>
      <c r="B858" s="63"/>
      <c r="C858" s="56">
        <f>INT($C$40)+1</f>
        <v>2</v>
      </c>
      <c r="D858" s="84"/>
      <c r="E858" s="79"/>
      <c r="F858" s="327" t="s">
        <v>1921</v>
      </c>
      <c r="G858" s="84"/>
      <c r="H858" s="304" t="s">
        <v>1922</v>
      </c>
      <c r="I858" s="108"/>
      <c r="J858" s="108" t="s">
        <v>642</v>
      </c>
      <c r="K858" s="87"/>
      <c r="L858" s="87"/>
      <c r="M858" s="87"/>
      <c r="N858" s="87"/>
      <c r="O858" s="87"/>
      <c r="P858" s="87"/>
      <c r="Q858" s="87"/>
      <c r="R858" s="87"/>
      <c r="S858" s="87"/>
      <c r="T858" s="87"/>
      <c r="U858" s="91">
        <v>5</v>
      </c>
      <c r="V858" s="87"/>
      <c r="W858" s="91">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1923</v>
      </c>
      <c r="F859" s="79" t="s">
        <v>1924</v>
      </c>
      <c r="G859" s="84"/>
      <c r="H859" s="87" t="s">
        <v>1925</v>
      </c>
      <c r="I859" s="87"/>
      <c r="J859" s="87"/>
      <c r="K859" s="109">
        <v>0.99704199999999998</v>
      </c>
      <c r="L859" s="109">
        <v>0.99704199999999998</v>
      </c>
      <c r="M859" s="87"/>
      <c r="N859" s="87"/>
      <c r="O859" s="87"/>
      <c r="P859" s="87"/>
      <c r="Q859" s="87"/>
      <c r="R859" s="87"/>
      <c r="S859" s="87"/>
      <c r="T859" s="87"/>
      <c r="U859" s="311">
        <f t="shared" ref="U859:AB859" si="120">INDEX($K859:$Q859,1,U$54)</f>
        <v>0.99704199999999998</v>
      </c>
      <c r="V859" s="311">
        <f t="shared" si="120"/>
        <v>0.99704199999999998</v>
      </c>
      <c r="W859" s="311">
        <f t="shared" si="120"/>
        <v>0.99704199999999998</v>
      </c>
      <c r="X859" s="311">
        <f t="shared" si="120"/>
        <v>0.99704199999999998</v>
      </c>
      <c r="Y859" s="311">
        <f t="shared" si="120"/>
        <v>0.99704199999999998</v>
      </c>
      <c r="Z859" s="311">
        <f t="shared" si="120"/>
        <v>0.99704199999999998</v>
      </c>
      <c r="AA859" s="311">
        <f t="shared" si="120"/>
        <v>0.99704199999999998</v>
      </c>
      <c r="AB859" s="311">
        <f t="shared" si="120"/>
        <v>0.99704199999999998</v>
      </c>
      <c r="AC859" s="87"/>
      <c r="AD859" s="87"/>
      <c r="AE859" s="87"/>
      <c r="AF859" s="109">
        <v>1</v>
      </c>
      <c r="AG859" s="109">
        <v>1</v>
      </c>
      <c r="AH859" s="84"/>
      <c r="AI859" s="66"/>
      <c r="AJ859" s="54"/>
      <c r="AK859" s="54"/>
      <c r="AL859" s="54"/>
    </row>
    <row r="860" spans="1:38" outlineLevel="2" x14ac:dyDescent="0.25">
      <c r="A860" s="54"/>
      <c r="B860" s="63"/>
      <c r="C860" s="56">
        <f>INT($C$40)+2</f>
        <v>3</v>
      </c>
      <c r="D860" s="84"/>
      <c r="E860" s="79"/>
      <c r="F860" s="79" t="s">
        <v>1926</v>
      </c>
      <c r="G860" s="84"/>
      <c r="H860" s="149" t="s">
        <v>1927</v>
      </c>
      <c r="I860" s="108" t="s">
        <v>1928</v>
      </c>
      <c r="J860" s="108"/>
      <c r="K860" s="87"/>
      <c r="L860" s="87"/>
      <c r="M860" s="87"/>
      <c r="N860" s="87"/>
      <c r="O860" s="87"/>
      <c r="P860" s="87"/>
      <c r="Q860" s="87"/>
      <c r="R860" s="87"/>
      <c r="S860" s="87"/>
      <c r="T860" s="87"/>
      <c r="U860" s="328">
        <v>0.19</v>
      </c>
      <c r="V860" s="328">
        <v>0.19</v>
      </c>
      <c r="W860" s="328">
        <v>0.19</v>
      </c>
      <c r="X860" s="328">
        <v>0.25</v>
      </c>
      <c r="Y860" s="328">
        <v>0.25</v>
      </c>
      <c r="Z860" s="328">
        <v>0.25</v>
      </c>
      <c r="AA860" s="328">
        <v>0.25</v>
      </c>
      <c r="AB860" s="328">
        <v>0.25</v>
      </c>
      <c r="AC860" s="87"/>
      <c r="AD860" s="109" t="s">
        <v>1929</v>
      </c>
      <c r="AE860" s="87"/>
      <c r="AF860" s="109">
        <v>1</v>
      </c>
      <c r="AG860" s="109">
        <v>1</v>
      </c>
      <c r="AH860" s="84"/>
      <c r="AI860" s="66"/>
      <c r="AJ860" s="54"/>
      <c r="AK860" s="54"/>
      <c r="AL860" s="54"/>
    </row>
    <row r="861" spans="1:38" outlineLevel="2" x14ac:dyDescent="0.25">
      <c r="A861" s="54"/>
      <c r="B861" s="63"/>
      <c r="C861" s="56">
        <f>INT($C$40)+2</f>
        <v>3</v>
      </c>
      <c r="D861" s="84"/>
      <c r="E861" s="79"/>
      <c r="F861" s="79" t="s">
        <v>1930</v>
      </c>
      <c r="G861" s="84"/>
      <c r="H861" s="87" t="s">
        <v>1931</v>
      </c>
      <c r="I861" s="87"/>
      <c r="J861" s="87"/>
      <c r="K861" s="87"/>
      <c r="L861" s="87"/>
      <c r="M861" s="87"/>
      <c r="N861" s="87"/>
      <c r="O861" s="87"/>
      <c r="P861" s="87"/>
      <c r="Q861" s="87"/>
      <c r="R861" s="87"/>
      <c r="S861" s="87"/>
      <c r="T861" s="87"/>
      <c r="U861" s="109">
        <v>0.13739999999999999</v>
      </c>
      <c r="V861" s="109">
        <v>0.13739999999999999</v>
      </c>
      <c r="W861" s="109">
        <v>0.13739999999999999</v>
      </c>
      <c r="X861" s="313">
        <f t="shared" ref="X861:AB863" si="121">W861</f>
        <v>0.13739999999999999</v>
      </c>
      <c r="Y861" s="313">
        <f t="shared" si="121"/>
        <v>0.13739999999999999</v>
      </c>
      <c r="Z861" s="313">
        <f t="shared" si="121"/>
        <v>0.13739999999999999</v>
      </c>
      <c r="AA861" s="313">
        <f t="shared" si="121"/>
        <v>0.13739999999999999</v>
      </c>
      <c r="AB861" s="313">
        <f t="shared" si="121"/>
        <v>0.13739999999999999</v>
      </c>
      <c r="AC861" s="87"/>
      <c r="AD861" s="87"/>
      <c r="AE861" s="87"/>
      <c r="AF861" s="109">
        <v>1</v>
      </c>
      <c r="AG861" s="109">
        <v>1</v>
      </c>
      <c r="AH861" s="84"/>
      <c r="AI861" s="66"/>
      <c r="AJ861" s="54"/>
      <c r="AK861" s="54"/>
      <c r="AL861" s="54"/>
    </row>
    <row r="862" spans="1:38" outlineLevel="2" x14ac:dyDescent="0.25">
      <c r="A862" s="54"/>
      <c r="B862" s="63"/>
      <c r="C862" s="56">
        <f>INT($C$40)+2</f>
        <v>3</v>
      </c>
      <c r="D862" s="84"/>
      <c r="E862" s="79"/>
      <c r="F862" s="79" t="s">
        <v>1932</v>
      </c>
      <c r="G862" s="84"/>
      <c r="H862" s="87" t="s">
        <v>1933</v>
      </c>
      <c r="I862" s="87"/>
      <c r="J862" s="87"/>
      <c r="K862" s="87"/>
      <c r="L862" s="87"/>
      <c r="M862" s="87"/>
      <c r="N862" s="87"/>
      <c r="O862" s="87"/>
      <c r="P862" s="87"/>
      <c r="Q862" s="87"/>
      <c r="R862" s="87"/>
      <c r="S862" s="87"/>
      <c r="T862" s="87"/>
      <c r="U862" s="109">
        <v>0.16700000000000001</v>
      </c>
      <c r="V862" s="109">
        <v>0.16700000000000001</v>
      </c>
      <c r="W862" s="109">
        <v>0.16700000000000001</v>
      </c>
      <c r="X862" s="313">
        <f t="shared" si="121"/>
        <v>0.16700000000000001</v>
      </c>
      <c r="Y862" s="313">
        <f t="shared" si="121"/>
        <v>0.16700000000000001</v>
      </c>
      <c r="Z862" s="313">
        <f t="shared" si="121"/>
        <v>0.16700000000000001</v>
      </c>
      <c r="AA862" s="313">
        <f t="shared" si="121"/>
        <v>0.16700000000000001</v>
      </c>
      <c r="AB862" s="313">
        <f t="shared" si="121"/>
        <v>0.16700000000000001</v>
      </c>
      <c r="AC862" s="87"/>
      <c r="AD862" s="87"/>
      <c r="AE862" s="87"/>
      <c r="AF862" s="109">
        <v>1</v>
      </c>
      <c r="AG862" s="109">
        <v>1</v>
      </c>
      <c r="AH862" s="84"/>
      <c r="AI862" s="66"/>
      <c r="AJ862" s="54"/>
      <c r="AK862" s="54"/>
      <c r="AL862" s="54"/>
    </row>
    <row r="863" spans="1:38" outlineLevel="2" x14ac:dyDescent="0.25">
      <c r="A863" s="54"/>
      <c r="B863" s="63"/>
      <c r="C863" s="56">
        <f>INT($C$40)+2</f>
        <v>3</v>
      </c>
      <c r="D863" s="84"/>
      <c r="E863" s="79"/>
      <c r="F863" s="79" t="s">
        <v>1934</v>
      </c>
      <c r="G863" s="84"/>
      <c r="H863" s="87" t="s">
        <v>1935</v>
      </c>
      <c r="I863" s="87"/>
      <c r="J863" s="87"/>
      <c r="K863" s="87"/>
      <c r="L863" s="87"/>
      <c r="M863" s="87"/>
      <c r="N863" s="87"/>
      <c r="O863" s="87"/>
      <c r="P863" s="87"/>
      <c r="Q863" s="87"/>
      <c r="R863" s="87"/>
      <c r="S863" s="87"/>
      <c r="T863" s="87"/>
      <c r="U863" s="109">
        <v>0.08</v>
      </c>
      <c r="V863" s="109">
        <v>0.08</v>
      </c>
      <c r="W863" s="109">
        <v>0.08</v>
      </c>
      <c r="X863" s="313">
        <f t="shared" si="121"/>
        <v>0.08</v>
      </c>
      <c r="Y863" s="313">
        <f t="shared" si="121"/>
        <v>0.08</v>
      </c>
      <c r="Z863" s="313">
        <f t="shared" si="121"/>
        <v>0.08</v>
      </c>
      <c r="AA863" s="313">
        <f t="shared" si="121"/>
        <v>0.08</v>
      </c>
      <c r="AB863" s="313">
        <f t="shared" si="121"/>
        <v>0.08</v>
      </c>
      <c r="AC863" s="87"/>
      <c r="AD863" s="87"/>
      <c r="AE863" s="87"/>
      <c r="AF863" s="109">
        <v>1</v>
      </c>
      <c r="AG863" s="109">
        <v>1</v>
      </c>
      <c r="AH863" s="84"/>
      <c r="AI863" s="66"/>
      <c r="AJ863" s="54"/>
      <c r="AK863" s="54"/>
      <c r="AL863" s="54"/>
    </row>
    <row r="864" spans="1:38" outlineLevel="1" x14ac:dyDescent="0.25">
      <c r="A864" s="54"/>
      <c r="B864" s="63"/>
      <c r="C864" s="56">
        <f>INT($C$40)+1</f>
        <v>2</v>
      </c>
      <c r="D864" s="84"/>
      <c r="E864" s="79"/>
      <c r="F864" s="327" t="s">
        <v>1921</v>
      </c>
      <c r="G864" s="84"/>
      <c r="H864" s="329" t="s">
        <v>1936</v>
      </c>
      <c r="I864" s="149"/>
      <c r="J864" s="149" t="s">
        <v>1192</v>
      </c>
      <c r="K864" s="87"/>
      <c r="L864" s="87"/>
      <c r="M864" s="87"/>
      <c r="N864" s="87"/>
      <c r="O864" s="87"/>
      <c r="P864" s="87"/>
      <c r="Q864" s="87"/>
      <c r="R864" s="87"/>
      <c r="S864" s="87"/>
      <c r="T864" s="87"/>
      <c r="U864" s="91">
        <v>19</v>
      </c>
      <c r="V864" s="91">
        <v>8</v>
      </c>
      <c r="W864" s="91">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1937</v>
      </c>
      <c r="G865" s="84"/>
      <c r="H865" s="87" t="s">
        <v>1938</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2">INT($C$40)+2</f>
        <v>3</v>
      </c>
      <c r="D866" s="84"/>
      <c r="E866" s="79"/>
      <c r="F866" s="79" t="s">
        <v>1939</v>
      </c>
      <c r="G866" s="84"/>
      <c r="H866" s="87" t="s">
        <v>1940</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2"/>
        <v>3</v>
      </c>
      <c r="D867" s="84"/>
      <c r="E867" s="79"/>
      <c r="F867" s="79" t="s">
        <v>1941</v>
      </c>
      <c r="G867" s="84"/>
      <c r="H867" s="87" t="s">
        <v>1942</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2"/>
        <v>3</v>
      </c>
      <c r="D868" s="84"/>
      <c r="E868" s="79"/>
      <c r="F868" s="79" t="s">
        <v>1943</v>
      </c>
      <c r="G868" s="84"/>
      <c r="H868" s="87" t="s">
        <v>1944</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2"/>
        <v>3</v>
      </c>
      <c r="D869" s="84"/>
      <c r="E869" s="79"/>
      <c r="F869" s="79" t="s">
        <v>1945</v>
      </c>
      <c r="G869" s="84"/>
      <c r="H869" s="87" t="s">
        <v>1946</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2"/>
        <v>3</v>
      </c>
      <c r="D870" s="84"/>
      <c r="E870" s="79"/>
      <c r="F870" s="79" t="s">
        <v>1947</v>
      </c>
      <c r="G870" s="84"/>
      <c r="H870" s="87" t="s">
        <v>1948</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2"/>
        <v>3</v>
      </c>
      <c r="D871" s="84"/>
      <c r="E871" s="79"/>
      <c r="F871" s="79" t="s">
        <v>1949</v>
      </c>
      <c r="G871" s="84"/>
      <c r="H871" s="87" t="s">
        <v>1950</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collapsed="1" x14ac:dyDescent="0.25">
      <c r="A872" s="54"/>
      <c r="B872" s="63"/>
      <c r="C872" s="56">
        <f t="shared" si="122"/>
        <v>3</v>
      </c>
      <c r="D872" s="84"/>
      <c r="E872" s="79"/>
      <c r="F872" s="79" t="s">
        <v>1951</v>
      </c>
      <c r="G872" s="84"/>
      <c r="H872" s="87" t="s">
        <v>1952</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3">INT($C$40)+3</f>
        <v>4</v>
      </c>
      <c r="D873" s="84"/>
      <c r="E873" s="79"/>
      <c r="F873" s="79" t="s">
        <v>1953</v>
      </c>
      <c r="G873" s="84"/>
      <c r="H873" s="87" t="s">
        <v>727</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3"/>
        <v>4</v>
      </c>
      <c r="D874" s="84"/>
      <c r="E874" s="79"/>
      <c r="F874" s="79" t="s">
        <v>1954</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3"/>
        <v>4</v>
      </c>
      <c r="D875" s="84"/>
      <c r="E875" s="79"/>
      <c r="F875" s="79" t="s">
        <v>1955</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3"/>
        <v>4</v>
      </c>
      <c r="D876" s="84"/>
      <c r="E876" s="79"/>
      <c r="F876" s="79" t="s">
        <v>1956</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3"/>
        <v>4</v>
      </c>
      <c r="D877" s="84"/>
      <c r="E877" s="79"/>
      <c r="F877" s="79" t="s">
        <v>1957</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3"/>
        <v>4</v>
      </c>
      <c r="D878" s="84"/>
      <c r="E878" s="79"/>
      <c r="F878" s="79" t="s">
        <v>1958</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1959</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1960</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1961</v>
      </c>
      <c r="G881" s="84"/>
      <c r="H881" s="87" t="s">
        <v>727</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1962</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1963</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1964</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1965</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1966</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1967</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1968</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1969</v>
      </c>
      <c r="G889" s="84"/>
      <c r="H889" s="87" t="s">
        <v>727</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1970</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1971</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1972</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1973</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1974</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1975</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1976</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1977</v>
      </c>
      <c r="G897" s="84"/>
      <c r="H897" s="87" t="s">
        <v>727</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1978</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1979</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1980</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1981</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1982</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1983</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1984</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1985</v>
      </c>
      <c r="G905" s="84"/>
      <c r="H905" s="87" t="s">
        <v>727</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1986</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1987</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1988</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1989</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1990</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1991</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1992</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1993</v>
      </c>
      <c r="G913" s="84"/>
      <c r="H913" s="87" t="s">
        <v>727</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1994</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1995</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1996</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1997</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1998</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1999</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2000</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2001</v>
      </c>
      <c r="G921" s="84"/>
      <c r="H921" s="87" t="s">
        <v>727</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2002</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2003</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2004</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2005</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2006</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2007</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2008</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2009</v>
      </c>
      <c r="G929" s="84"/>
      <c r="H929" s="87" t="s">
        <v>727</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2010</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2011</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2012</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2013</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2014</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2015</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2016</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4">INT($C$40)+3</f>
        <v>4</v>
      </c>
      <c r="D937" s="84"/>
      <c r="E937" s="79"/>
      <c r="F937" s="79" t="s">
        <v>2017</v>
      </c>
      <c r="G937" s="84"/>
      <c r="H937" s="87" t="s">
        <v>727</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4"/>
        <v>4</v>
      </c>
      <c r="D938" s="84"/>
      <c r="E938" s="79"/>
      <c r="F938" s="79" t="s">
        <v>2018</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4"/>
        <v>4</v>
      </c>
      <c r="D939" s="84"/>
      <c r="E939" s="79"/>
      <c r="F939" s="79" t="s">
        <v>2019</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4"/>
        <v>4</v>
      </c>
      <c r="D940" s="84"/>
      <c r="E940" s="79"/>
      <c r="F940" s="79" t="s">
        <v>2020</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4"/>
        <v>4</v>
      </c>
      <c r="D941" s="84"/>
      <c r="E941" s="79"/>
      <c r="F941" s="79" t="s">
        <v>2021</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4"/>
        <v>4</v>
      </c>
      <c r="D942" s="84"/>
      <c r="E942" s="79"/>
      <c r="F942" s="79" t="s">
        <v>2022</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2023</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2024</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2025</v>
      </c>
      <c r="G945" s="84"/>
      <c r="H945" s="87" t="s">
        <v>727</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2026</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2027</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2028</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2029</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2030</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2031</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2032</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2033</v>
      </c>
      <c r="G953" s="84"/>
      <c r="H953" s="87" t="s">
        <v>727</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2034</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2035</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2036</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2037</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2038</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2039</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2040</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5">INT($C$40)+2</f>
        <v>3</v>
      </c>
      <c r="D961" s="84"/>
      <c r="E961" s="79"/>
      <c r="F961" s="79" t="s">
        <v>2041</v>
      </c>
      <c r="G961" s="84"/>
      <c r="H961" s="87" t="s">
        <v>2042</v>
      </c>
      <c r="I961" s="108" t="s">
        <v>2402</v>
      </c>
      <c r="J961" s="108"/>
      <c r="K961" s="87"/>
      <c r="L961" s="87"/>
      <c r="M961" s="87"/>
      <c r="N961" s="87"/>
      <c r="O961" s="87"/>
      <c r="P961" s="87"/>
      <c r="Q961" s="87"/>
      <c r="R961" s="87"/>
      <c r="S961" s="87"/>
      <c r="T961" s="87"/>
      <c r="U961" s="109">
        <v>1.2E-2</v>
      </c>
      <c r="V961" s="109">
        <v>1.2E-2</v>
      </c>
      <c r="W961" s="109">
        <v>1.2E-2</v>
      </c>
      <c r="X961" s="313">
        <f>W961</f>
        <v>1.2E-2</v>
      </c>
      <c r="Y961" s="313">
        <f>X961</f>
        <v>1.2E-2</v>
      </c>
      <c r="Z961" s="313">
        <f>Y961</f>
        <v>1.2E-2</v>
      </c>
      <c r="AA961" s="313">
        <f>Z961</f>
        <v>1.2E-2</v>
      </c>
      <c r="AB961" s="313">
        <f>AA961</f>
        <v>1.2E-2</v>
      </c>
      <c r="AC961" s="87"/>
      <c r="AD961" s="109" t="s">
        <v>2043</v>
      </c>
      <c r="AE961" s="87"/>
      <c r="AF961" s="109">
        <v>1</v>
      </c>
      <c r="AG961" s="109">
        <v>1</v>
      </c>
      <c r="AH961" s="84"/>
      <c r="AI961" s="66"/>
      <c r="AJ961" s="54"/>
      <c r="AK961" s="54"/>
      <c r="AL961" s="54"/>
    </row>
    <row r="962" spans="1:38" outlineLevel="2" x14ac:dyDescent="0.25">
      <c r="A962" s="54"/>
      <c r="B962" s="63"/>
      <c r="C962" s="56">
        <f t="shared" si="125"/>
        <v>3</v>
      </c>
      <c r="D962" s="84"/>
      <c r="E962" s="79"/>
      <c r="F962" s="79" t="s">
        <v>2044</v>
      </c>
      <c r="G962" s="84"/>
      <c r="H962" s="87" t="s">
        <v>2045</v>
      </c>
      <c r="I962" s="108"/>
      <c r="J962" s="108"/>
      <c r="K962" s="87"/>
      <c r="L962" s="87"/>
      <c r="M962" s="87"/>
      <c r="N962" s="87"/>
      <c r="O962" s="87"/>
      <c r="P962" s="87"/>
      <c r="Q962" s="87"/>
      <c r="R962" s="87"/>
      <c r="S962" s="87"/>
      <c r="T962" s="87"/>
      <c r="U962" s="342">
        <f>U963</f>
        <v>9.9999999999999985E-3</v>
      </c>
      <c r="V962" s="311">
        <f t="shared" ref="V962:AB962" si="126">V963</f>
        <v>9.9999999999999985E-3</v>
      </c>
      <c r="W962" s="311">
        <f t="shared" si="126"/>
        <v>9.9999999999999985E-3</v>
      </c>
      <c r="X962" s="311">
        <f t="shared" si="126"/>
        <v>9.9999999999999985E-3</v>
      </c>
      <c r="Y962" s="311">
        <f t="shared" si="126"/>
        <v>9.9999999999999985E-3</v>
      </c>
      <c r="Z962" s="311">
        <f t="shared" si="126"/>
        <v>9.9999999999999985E-3</v>
      </c>
      <c r="AA962" s="311">
        <f t="shared" si="126"/>
        <v>9.9999999999999985E-3</v>
      </c>
      <c r="AB962" s="311">
        <f t="shared" si="126"/>
        <v>9.9999999999999985E-3</v>
      </c>
      <c r="AC962" s="87"/>
      <c r="AD962" s="87"/>
      <c r="AE962" s="87"/>
      <c r="AF962" s="311">
        <f>AF963</f>
        <v>1</v>
      </c>
      <c r="AG962" s="311">
        <f>AG963</f>
        <v>1</v>
      </c>
      <c r="AH962" s="84"/>
      <c r="AI962" s="66"/>
      <c r="AJ962" s="54"/>
      <c r="AK962" s="54"/>
      <c r="AL962" s="54"/>
    </row>
    <row r="963" spans="1:38" outlineLevel="2" x14ac:dyDescent="0.25">
      <c r="A963" s="54"/>
      <c r="B963" s="63"/>
      <c r="C963" s="56">
        <f t="shared" si="125"/>
        <v>3</v>
      </c>
      <c r="D963" s="84"/>
      <c r="E963" s="79"/>
      <c r="F963" s="79" t="s">
        <v>2046</v>
      </c>
      <c r="G963" s="84"/>
      <c r="H963" s="87" t="s">
        <v>2047</v>
      </c>
      <c r="I963" s="108" t="s">
        <v>2401</v>
      </c>
      <c r="J963" s="108"/>
      <c r="K963" s="87"/>
      <c r="L963" s="87"/>
      <c r="M963" s="87"/>
      <c r="N963" s="87"/>
      <c r="O963" s="87"/>
      <c r="P963" s="87"/>
      <c r="Q963" s="87"/>
      <c r="R963" s="87"/>
      <c r="S963" s="87"/>
      <c r="T963" s="87"/>
      <c r="U963" s="343">
        <f>0.022-U$961</f>
        <v>9.9999999999999985E-3</v>
      </c>
      <c r="V963" s="109">
        <f>0.022-V$961</f>
        <v>9.9999999999999985E-3</v>
      </c>
      <c r="W963" s="109">
        <f>0.022-W$961</f>
        <v>9.9999999999999985E-3</v>
      </c>
      <c r="X963" s="313">
        <f t="shared" ref="X963:AB964" si="127">W963</f>
        <v>9.9999999999999985E-3</v>
      </c>
      <c r="Y963" s="313">
        <f t="shared" si="127"/>
        <v>9.9999999999999985E-3</v>
      </c>
      <c r="Z963" s="313">
        <f t="shared" si="127"/>
        <v>9.9999999999999985E-3</v>
      </c>
      <c r="AA963" s="313">
        <f t="shared" si="127"/>
        <v>9.9999999999999985E-3</v>
      </c>
      <c r="AB963" s="313">
        <f t="shared" si="127"/>
        <v>9.9999999999999985E-3</v>
      </c>
      <c r="AC963" s="87"/>
      <c r="AD963" s="87"/>
      <c r="AE963" s="87"/>
      <c r="AF963" s="109">
        <v>1</v>
      </c>
      <c r="AG963" s="109">
        <v>1</v>
      </c>
      <c r="AH963" s="84"/>
      <c r="AI963" s="66"/>
      <c r="AJ963" s="54"/>
      <c r="AK963" s="54"/>
      <c r="AL963" s="54"/>
    </row>
    <row r="964" spans="1:38" outlineLevel="2" collapsed="1" x14ac:dyDescent="0.25">
      <c r="A964" s="54"/>
      <c r="B964" s="63"/>
      <c r="C964" s="56">
        <f t="shared" si="125"/>
        <v>3</v>
      </c>
      <c r="D964" s="84"/>
      <c r="E964" s="79"/>
      <c r="F964" s="79" t="s">
        <v>2048</v>
      </c>
      <c r="G964" s="84"/>
      <c r="H964" s="87" t="s">
        <v>2049</v>
      </c>
      <c r="I964" s="108" t="s">
        <v>2401</v>
      </c>
      <c r="J964" s="108"/>
      <c r="K964" s="87"/>
      <c r="L964" s="87"/>
      <c r="M964" s="87"/>
      <c r="N964" s="87"/>
      <c r="O964" s="87"/>
      <c r="P964" s="87"/>
      <c r="Q964" s="87"/>
      <c r="R964" s="87"/>
      <c r="S964" s="87"/>
      <c r="T964" s="87"/>
      <c r="U964" s="343">
        <f>0.021-U$961</f>
        <v>9.0000000000000011E-3</v>
      </c>
      <c r="V964" s="109">
        <f>0.021-V$961</f>
        <v>9.0000000000000011E-3</v>
      </c>
      <c r="W964" s="109">
        <f>0.021-W$961</f>
        <v>9.0000000000000011E-3</v>
      </c>
      <c r="X964" s="313">
        <f t="shared" si="127"/>
        <v>9.0000000000000011E-3</v>
      </c>
      <c r="Y964" s="313">
        <f t="shared" si="127"/>
        <v>9.0000000000000011E-3</v>
      </c>
      <c r="Z964" s="313">
        <f t="shared" si="127"/>
        <v>9.0000000000000011E-3</v>
      </c>
      <c r="AA964" s="313">
        <f t="shared" si="127"/>
        <v>9.0000000000000011E-3</v>
      </c>
      <c r="AB964" s="313">
        <f t="shared" si="127"/>
        <v>9.0000000000000011E-3</v>
      </c>
      <c r="AC964" s="87"/>
      <c r="AD964" s="87"/>
      <c r="AE964" s="87"/>
      <c r="AF964" s="109">
        <v>1</v>
      </c>
      <c r="AG964" s="109">
        <v>1</v>
      </c>
      <c r="AH964" s="84"/>
      <c r="AI964" s="66"/>
      <c r="AJ964" s="54"/>
      <c r="AK964" s="54"/>
      <c r="AL964" s="54"/>
    </row>
    <row r="965" spans="1:38" hidden="1" outlineLevel="3" x14ac:dyDescent="0.25">
      <c r="A965" s="54"/>
      <c r="B965" s="63"/>
      <c r="C965" s="56">
        <f>INT($C$40)+3</f>
        <v>4</v>
      </c>
      <c r="D965" s="84"/>
      <c r="E965" s="79"/>
      <c r="F965" s="79" t="s">
        <v>2050</v>
      </c>
      <c r="G965" s="84"/>
      <c r="H965" s="87" t="s">
        <v>2051</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2052</v>
      </c>
      <c r="G966" s="84"/>
      <c r="H966" s="87" t="s">
        <v>2053</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2054</v>
      </c>
      <c r="G967" s="84"/>
      <c r="H967" s="87" t="s">
        <v>2055</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5"/>
        <v>3</v>
      </c>
      <c r="D968" s="84"/>
      <c r="E968" s="79"/>
      <c r="F968" s="79" t="s">
        <v>2056</v>
      </c>
      <c r="G968" s="84"/>
      <c r="H968" s="87" t="s">
        <v>2057</v>
      </c>
      <c r="I968" s="87"/>
      <c r="J968" s="87"/>
      <c r="K968" s="87"/>
      <c r="L968" s="87"/>
      <c r="M968" s="87"/>
      <c r="N968" s="87"/>
      <c r="O968" s="87"/>
      <c r="P968" s="87"/>
      <c r="Q968" s="87"/>
      <c r="R968" s="87"/>
      <c r="S968" s="87"/>
      <c r="T968" s="87"/>
      <c r="U968" s="109">
        <v>0</v>
      </c>
      <c r="V968" s="109">
        <v>0</v>
      </c>
      <c r="W968" s="109">
        <v>0</v>
      </c>
      <c r="X968" s="313">
        <f t="shared" ref="X968:AB969" si="128">W968</f>
        <v>0</v>
      </c>
      <c r="Y968" s="313">
        <f t="shared" si="128"/>
        <v>0</v>
      </c>
      <c r="Z968" s="313">
        <f t="shared" si="128"/>
        <v>0</v>
      </c>
      <c r="AA968" s="313">
        <f t="shared" si="128"/>
        <v>0</v>
      </c>
      <c r="AB968" s="313">
        <f t="shared" si="128"/>
        <v>0</v>
      </c>
      <c r="AC968" s="87"/>
      <c r="AD968" s="109" t="s">
        <v>2399</v>
      </c>
      <c r="AE968" s="87"/>
      <c r="AF968" s="109">
        <v>1</v>
      </c>
      <c r="AG968" s="109">
        <v>1</v>
      </c>
      <c r="AH968" s="84"/>
      <c r="AI968" s="66"/>
      <c r="AJ968" s="54"/>
      <c r="AK968" s="54"/>
      <c r="AL968" s="54"/>
    </row>
    <row r="969" spans="1:38" outlineLevel="2" x14ac:dyDescent="0.25">
      <c r="A969" s="54"/>
      <c r="B969" s="63"/>
      <c r="C969" s="56">
        <f t="shared" si="125"/>
        <v>3</v>
      </c>
      <c r="D969" s="84"/>
      <c r="E969" s="79"/>
      <c r="F969" s="79" t="s">
        <v>2058</v>
      </c>
      <c r="G969" s="84"/>
      <c r="H969" s="87" t="s">
        <v>2059</v>
      </c>
      <c r="I969" s="108" t="s">
        <v>2404</v>
      </c>
      <c r="J969" s="108"/>
      <c r="K969" s="87"/>
      <c r="L969" s="87"/>
      <c r="M969" s="87"/>
      <c r="N969" s="87"/>
      <c r="O969" s="87"/>
      <c r="P969" s="87"/>
      <c r="Q969" s="87"/>
      <c r="R969" s="87"/>
      <c r="S969" s="87"/>
      <c r="T969" s="87"/>
      <c r="U969" s="109">
        <v>0</v>
      </c>
      <c r="V969" s="109">
        <v>0</v>
      </c>
      <c r="W969" s="109">
        <v>0</v>
      </c>
      <c r="X969" s="313">
        <f t="shared" si="128"/>
        <v>0</v>
      </c>
      <c r="Y969" s="313">
        <f t="shared" si="128"/>
        <v>0</v>
      </c>
      <c r="Z969" s="313">
        <f t="shared" si="128"/>
        <v>0</v>
      </c>
      <c r="AA969" s="313">
        <f t="shared" si="128"/>
        <v>0</v>
      </c>
      <c r="AB969" s="313">
        <f t="shared" si="128"/>
        <v>0</v>
      </c>
      <c r="AC969" s="87"/>
      <c r="AD969" s="109" t="s">
        <v>2060</v>
      </c>
      <c r="AE969" s="87"/>
      <c r="AF969" s="109">
        <v>1</v>
      </c>
      <c r="AG969" s="109">
        <v>1</v>
      </c>
      <c r="AH969" s="84"/>
      <c r="AI969" s="66"/>
      <c r="AJ969" s="54"/>
      <c r="AK969" s="54"/>
      <c r="AL969" s="54"/>
    </row>
    <row r="970" spans="1:38" outlineLevel="2" x14ac:dyDescent="0.25">
      <c r="A970" s="54"/>
      <c r="B970" s="63"/>
      <c r="C970" s="56">
        <f t="shared" si="125"/>
        <v>3</v>
      </c>
      <c r="D970" s="84"/>
      <c r="E970" s="79"/>
      <c r="F970" s="79" t="s">
        <v>2061</v>
      </c>
      <c r="G970" s="84"/>
      <c r="H970" s="87" t="s">
        <v>2062</v>
      </c>
      <c r="I970" s="108"/>
      <c r="J970" s="108"/>
      <c r="K970" s="87"/>
      <c r="L970" s="87"/>
      <c r="M970" s="87"/>
      <c r="N970" s="87"/>
      <c r="O970" s="87"/>
      <c r="P970" s="87"/>
      <c r="Q970" s="87"/>
      <c r="R970" s="87"/>
      <c r="S970" s="87"/>
      <c r="T970" s="87"/>
      <c r="U970" s="311">
        <f t="shared" ref="U970:AB970" si="129">U971</f>
        <v>-1.9E-2</v>
      </c>
      <c r="V970" s="311">
        <f t="shared" si="129"/>
        <v>-1.9E-2</v>
      </c>
      <c r="W970" s="311">
        <f t="shared" si="129"/>
        <v>-1.9E-2</v>
      </c>
      <c r="X970" s="311">
        <f t="shared" si="129"/>
        <v>-1.9E-2</v>
      </c>
      <c r="Y970" s="311">
        <f t="shared" si="129"/>
        <v>-1.9E-2</v>
      </c>
      <c r="Z970" s="311">
        <f t="shared" si="129"/>
        <v>-1.9E-2</v>
      </c>
      <c r="AA970" s="311">
        <f t="shared" si="129"/>
        <v>-1.9E-2</v>
      </c>
      <c r="AB970" s="311">
        <f t="shared" si="129"/>
        <v>-1.9E-2</v>
      </c>
      <c r="AC970" s="87"/>
      <c r="AD970" s="87"/>
      <c r="AE970" s="87"/>
      <c r="AF970" s="311">
        <f>AF971</f>
        <v>1</v>
      </c>
      <c r="AG970" s="311">
        <f>AG971</f>
        <v>1</v>
      </c>
      <c r="AH970" s="84"/>
      <c r="AI970" s="66"/>
      <c r="AJ970" s="54"/>
      <c r="AK970" s="54"/>
      <c r="AL970" s="54"/>
    </row>
    <row r="971" spans="1:38" outlineLevel="2" x14ac:dyDescent="0.25">
      <c r="A971" s="54"/>
      <c r="B971" s="63"/>
      <c r="C971" s="56">
        <f t="shared" si="125"/>
        <v>3</v>
      </c>
      <c r="D971" s="84"/>
      <c r="E971" s="79"/>
      <c r="F971" s="79" t="s">
        <v>2063</v>
      </c>
      <c r="G971" s="84"/>
      <c r="H971" s="87" t="s">
        <v>2064</v>
      </c>
      <c r="I971" s="108" t="s">
        <v>2403</v>
      </c>
      <c r="J971" s="108"/>
      <c r="K971" s="87"/>
      <c r="L971" s="87"/>
      <c r="M971" s="87"/>
      <c r="N971" s="87"/>
      <c r="O971" s="87"/>
      <c r="P971" s="87"/>
      <c r="Q971" s="87"/>
      <c r="R971" s="87"/>
      <c r="S971" s="87"/>
      <c r="T971" s="87"/>
      <c r="U971" s="109">
        <f>-0.019-U$969</f>
        <v>-1.9E-2</v>
      </c>
      <c r="V971" s="109">
        <f>-0.019-V$969</f>
        <v>-1.9E-2</v>
      </c>
      <c r="W971" s="109">
        <f>-0.019-W$969</f>
        <v>-1.9E-2</v>
      </c>
      <c r="X971" s="313">
        <f t="shared" ref="X971:AB972" si="130">W971</f>
        <v>-1.9E-2</v>
      </c>
      <c r="Y971" s="313">
        <f t="shared" si="130"/>
        <v>-1.9E-2</v>
      </c>
      <c r="Z971" s="313">
        <f t="shared" si="130"/>
        <v>-1.9E-2</v>
      </c>
      <c r="AA971" s="313">
        <f t="shared" si="130"/>
        <v>-1.9E-2</v>
      </c>
      <c r="AB971" s="313">
        <f t="shared" si="130"/>
        <v>-1.9E-2</v>
      </c>
      <c r="AC971" s="87"/>
      <c r="AD971" s="87"/>
      <c r="AE971" s="87"/>
      <c r="AF971" s="109">
        <v>1</v>
      </c>
      <c r="AG971" s="109">
        <v>1</v>
      </c>
      <c r="AH971" s="84"/>
      <c r="AI971" s="66"/>
      <c r="AJ971" s="54"/>
      <c r="AK971" s="54"/>
      <c r="AL971" s="54"/>
    </row>
    <row r="972" spans="1:38" outlineLevel="2" collapsed="1" x14ac:dyDescent="0.25">
      <c r="A972" s="54"/>
      <c r="B972" s="63"/>
      <c r="C972" s="56">
        <f t="shared" si="125"/>
        <v>3</v>
      </c>
      <c r="D972" s="84"/>
      <c r="E972" s="79"/>
      <c r="F972" s="79" t="s">
        <v>2065</v>
      </c>
      <c r="G972" s="84"/>
      <c r="H972" s="87" t="s">
        <v>2066</v>
      </c>
      <c r="I972" s="108" t="s">
        <v>2403</v>
      </c>
      <c r="J972" s="108"/>
      <c r="K972" s="87"/>
      <c r="L972" s="87"/>
      <c r="M972" s="87"/>
      <c r="N972" s="87"/>
      <c r="O972" s="87"/>
      <c r="P972" s="87"/>
      <c r="Q972" s="87"/>
      <c r="R972" s="87"/>
      <c r="S972" s="87"/>
      <c r="T972" s="87"/>
      <c r="U972" s="109">
        <f>-0.031-U$969</f>
        <v>-3.1E-2</v>
      </c>
      <c r="V972" s="109">
        <f>-0.031-V$969</f>
        <v>-3.1E-2</v>
      </c>
      <c r="W972" s="109">
        <f>-0.031-W$969</f>
        <v>-3.1E-2</v>
      </c>
      <c r="X972" s="313">
        <f t="shared" si="130"/>
        <v>-3.1E-2</v>
      </c>
      <c r="Y972" s="313">
        <f t="shared" si="130"/>
        <v>-3.1E-2</v>
      </c>
      <c r="Z972" s="313">
        <f t="shared" si="130"/>
        <v>-3.1E-2</v>
      </c>
      <c r="AA972" s="313">
        <f t="shared" si="130"/>
        <v>-3.1E-2</v>
      </c>
      <c r="AB972" s="313">
        <f t="shared" si="130"/>
        <v>-3.1E-2</v>
      </c>
      <c r="AC972" s="87"/>
      <c r="AD972" s="87"/>
      <c r="AE972" s="87"/>
      <c r="AF972" s="109">
        <v>1</v>
      </c>
      <c r="AG972" s="109">
        <v>1</v>
      </c>
      <c r="AH972" s="84"/>
      <c r="AI972" s="66"/>
      <c r="AJ972" s="54"/>
      <c r="AK972" s="54"/>
      <c r="AL972" s="54"/>
    </row>
    <row r="973" spans="1:38" hidden="1" outlineLevel="3" x14ac:dyDescent="0.25">
      <c r="A973" s="54"/>
      <c r="B973" s="63"/>
      <c r="C973" s="56">
        <f>INT($C$40)+3</f>
        <v>4</v>
      </c>
      <c r="D973" s="84"/>
      <c r="E973" s="79"/>
      <c r="F973" s="79" t="s">
        <v>2067</v>
      </c>
      <c r="G973" s="84"/>
      <c r="H973" s="87" t="s">
        <v>2068</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2069</v>
      </c>
      <c r="G974" s="84"/>
      <c r="H974" s="87" t="s">
        <v>2070</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2071</v>
      </c>
      <c r="G975" s="84"/>
      <c r="H975" s="87" t="s">
        <v>2072</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collapsed="1" x14ac:dyDescent="0.25">
      <c r="A976" s="54"/>
      <c r="B976" s="63"/>
      <c r="C976" s="56">
        <f t="shared" si="125"/>
        <v>3</v>
      </c>
      <c r="D976" s="84"/>
      <c r="E976" s="79"/>
      <c r="F976" s="79" t="s">
        <v>2073</v>
      </c>
      <c r="G976" s="84"/>
      <c r="H976" s="87" t="s">
        <v>1952</v>
      </c>
      <c r="I976" s="87"/>
      <c r="J976" s="87"/>
      <c r="K976" s="87"/>
      <c r="L976" s="87"/>
      <c r="M976" s="87"/>
      <c r="N976" s="87"/>
      <c r="O976" s="87"/>
      <c r="P976" s="87"/>
      <c r="Q976" s="87"/>
      <c r="R976" s="87"/>
      <c r="S976" s="87"/>
      <c r="T976" s="87"/>
      <c r="U976" s="109">
        <v>0</v>
      </c>
      <c r="V976" s="109">
        <v>0</v>
      </c>
      <c r="W976" s="109">
        <v>0</v>
      </c>
      <c r="X976" s="313">
        <f>W976</f>
        <v>0</v>
      </c>
      <c r="Y976" s="313">
        <f>X976</f>
        <v>0</v>
      </c>
      <c r="Z976" s="313">
        <f>Y976</f>
        <v>0</v>
      </c>
      <c r="AA976" s="313">
        <f>Z976</f>
        <v>0</v>
      </c>
      <c r="AB976" s="313">
        <f>AA976</f>
        <v>0</v>
      </c>
      <c r="AC976" s="87"/>
      <c r="AD976" s="109" t="s">
        <v>2399</v>
      </c>
      <c r="AE976" s="87"/>
      <c r="AF976" s="109">
        <v>1</v>
      </c>
      <c r="AG976" s="109">
        <v>1</v>
      </c>
      <c r="AH976" s="84"/>
      <c r="AI976" s="66"/>
      <c r="AJ976" s="54"/>
      <c r="AK976" s="54"/>
      <c r="AL976" s="54"/>
    </row>
    <row r="977" spans="1:38" hidden="1" outlineLevel="3" x14ac:dyDescent="0.25">
      <c r="A977" s="54"/>
      <c r="B977" s="63"/>
      <c r="C977" s="56">
        <f t="shared" ref="C977:C992" si="131">INT($C$40)+3</f>
        <v>4</v>
      </c>
      <c r="D977" s="84"/>
      <c r="E977" s="79"/>
      <c r="F977" s="79" t="s">
        <v>2074</v>
      </c>
      <c r="G977" s="84"/>
      <c r="H977" s="87" t="s">
        <v>727</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1"/>
        <v>4</v>
      </c>
      <c r="D978" s="84"/>
      <c r="E978" s="79"/>
      <c r="F978" s="79" t="s">
        <v>2075</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1"/>
        <v>4</v>
      </c>
      <c r="D979" s="84"/>
      <c r="E979" s="79"/>
      <c r="F979" s="79" t="s">
        <v>2076</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1"/>
        <v>4</v>
      </c>
      <c r="D980" s="84"/>
      <c r="E980" s="79"/>
      <c r="F980" s="79" t="s">
        <v>2077</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1"/>
        <v>4</v>
      </c>
      <c r="D981" s="84"/>
      <c r="E981" s="79"/>
      <c r="F981" s="79" t="s">
        <v>2078</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1"/>
        <v>4</v>
      </c>
      <c r="D982" s="84"/>
      <c r="E982" s="79"/>
      <c r="F982" s="79" t="s">
        <v>2079</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2080</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2081</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2082</v>
      </c>
      <c r="G985" s="84"/>
      <c r="H985" s="87" t="s">
        <v>727</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2083</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2084</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2085</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2086</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2087</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2088</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2089</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5"/>
        <v>3</v>
      </c>
      <c r="D993" s="84"/>
      <c r="E993" s="79"/>
      <c r="F993" s="79" t="s">
        <v>2090</v>
      </c>
      <c r="G993" s="84"/>
      <c r="H993" s="87" t="s">
        <v>2091</v>
      </c>
      <c r="I993" s="108"/>
      <c r="J993" s="108"/>
      <c r="K993" s="87"/>
      <c r="L993" s="87"/>
      <c r="M993" s="87"/>
      <c r="N993" s="87"/>
      <c r="O993" s="87"/>
      <c r="P993" s="87"/>
      <c r="Q993" s="87"/>
      <c r="R993" s="87"/>
      <c r="S993" s="87"/>
      <c r="T993" s="87"/>
      <c r="U993" s="109">
        <v>2.8000000000000001E-2</v>
      </c>
      <c r="V993" s="109">
        <v>2.8000000000000001E-2</v>
      </c>
      <c r="W993" s="109">
        <v>2.8000000000000001E-2</v>
      </c>
      <c r="X993" s="313">
        <f>W993</f>
        <v>2.8000000000000001E-2</v>
      </c>
      <c r="Y993" s="109">
        <v>2.3E-2</v>
      </c>
      <c r="Z993" s="313">
        <f>Y993</f>
        <v>2.3E-2</v>
      </c>
      <c r="AA993" s="313">
        <f>Z993</f>
        <v>2.3E-2</v>
      </c>
      <c r="AB993" s="313">
        <f>AA993</f>
        <v>2.3E-2</v>
      </c>
      <c r="AC993" s="87"/>
      <c r="AD993" s="109" t="s">
        <v>2092</v>
      </c>
      <c r="AE993" s="87"/>
      <c r="AF993" s="109">
        <v>1</v>
      </c>
      <c r="AG993" s="109">
        <v>1</v>
      </c>
      <c r="AH993" s="84"/>
      <c r="AI993" s="66"/>
      <c r="AJ993" s="54"/>
      <c r="AK993" s="54"/>
      <c r="AL993" s="54"/>
    </row>
    <row r="994" spans="1:38" outlineLevel="2" x14ac:dyDescent="0.25">
      <c r="A994" s="54"/>
      <c r="B994" s="63"/>
      <c r="C994" s="56">
        <f t="shared" si="125"/>
        <v>3</v>
      </c>
      <c r="D994" s="84"/>
      <c r="E994" s="79"/>
      <c r="F994" s="79" t="s">
        <v>2093</v>
      </c>
      <c r="G994" s="84"/>
      <c r="H994" s="87" t="s">
        <v>2094</v>
      </c>
      <c r="I994" s="108"/>
      <c r="J994" s="108"/>
      <c r="K994" s="87"/>
      <c r="L994" s="87"/>
      <c r="M994" s="87"/>
      <c r="N994" s="87"/>
      <c r="O994" s="87"/>
      <c r="P994" s="87"/>
      <c r="Q994" s="87"/>
      <c r="R994" s="87"/>
      <c r="S994" s="87"/>
      <c r="T994" s="87"/>
      <c r="U994" s="311">
        <f t="shared" ref="U994:AB994" si="132">U995</f>
        <v>6.0000000000000019E-3</v>
      </c>
      <c r="V994" s="311">
        <f t="shared" si="132"/>
        <v>6.0000000000000019E-3</v>
      </c>
      <c r="W994" s="311">
        <f t="shared" si="132"/>
        <v>6.0000000000000019E-3</v>
      </c>
      <c r="X994" s="311">
        <f t="shared" si="132"/>
        <v>6.0000000000000019E-3</v>
      </c>
      <c r="Y994" s="311">
        <f t="shared" si="132"/>
        <v>2.0000000000000018E-3</v>
      </c>
      <c r="Z994" s="311">
        <f t="shared" si="132"/>
        <v>2.0000000000000018E-3</v>
      </c>
      <c r="AA994" s="311">
        <f t="shared" si="132"/>
        <v>2.0000000000000018E-3</v>
      </c>
      <c r="AB994" s="311">
        <f t="shared" si="132"/>
        <v>2.0000000000000018E-3</v>
      </c>
      <c r="AC994" s="87"/>
      <c r="AD994" s="109" t="s">
        <v>2420</v>
      </c>
      <c r="AE994" s="87"/>
      <c r="AF994" s="311">
        <f>AF995</f>
        <v>1</v>
      </c>
      <c r="AG994" s="311">
        <f>AG995</f>
        <v>1</v>
      </c>
      <c r="AH994" s="84"/>
      <c r="AI994" s="66"/>
      <c r="AJ994" s="54"/>
      <c r="AK994" s="54"/>
      <c r="AL994" s="54"/>
    </row>
    <row r="995" spans="1:38" outlineLevel="2" x14ac:dyDescent="0.25">
      <c r="A995" s="54"/>
      <c r="B995" s="63"/>
      <c r="C995" s="56">
        <f t="shared" si="125"/>
        <v>3</v>
      </c>
      <c r="D995" s="84"/>
      <c r="E995" s="79"/>
      <c r="F995" s="79" t="s">
        <v>2095</v>
      </c>
      <c r="G995" s="84"/>
      <c r="H995" s="87" t="s">
        <v>2096</v>
      </c>
      <c r="I995" s="108"/>
      <c r="J995" s="108"/>
      <c r="K995" s="87"/>
      <c r="L995" s="87"/>
      <c r="M995" s="87"/>
      <c r="N995" s="87"/>
      <c r="O995" s="87"/>
      <c r="P995" s="87"/>
      <c r="Q995" s="87"/>
      <c r="R995" s="87"/>
      <c r="S995" s="87"/>
      <c r="T995" s="87"/>
      <c r="U995" s="109">
        <f>0.034-U$993</f>
        <v>6.0000000000000019E-3</v>
      </c>
      <c r="V995" s="109">
        <f>0.034-V$993</f>
        <v>6.0000000000000019E-3</v>
      </c>
      <c r="W995" s="109">
        <f>0.034-W$993</f>
        <v>6.0000000000000019E-3</v>
      </c>
      <c r="X995" s="313">
        <f t="shared" ref="X995:AB996" si="133">W995</f>
        <v>6.0000000000000019E-3</v>
      </c>
      <c r="Y995" s="109">
        <f>0.025-Y$993</f>
        <v>2.0000000000000018E-3</v>
      </c>
      <c r="Z995" s="313">
        <f t="shared" si="133"/>
        <v>2.0000000000000018E-3</v>
      </c>
      <c r="AA995" s="313">
        <f t="shared" si="133"/>
        <v>2.0000000000000018E-3</v>
      </c>
      <c r="AB995" s="313">
        <f t="shared" si="133"/>
        <v>2.0000000000000018E-3</v>
      </c>
      <c r="AC995" s="87"/>
      <c r="AD995" s="87"/>
      <c r="AE995" s="87"/>
      <c r="AF995" s="109">
        <v>1</v>
      </c>
      <c r="AG995" s="109">
        <v>1</v>
      </c>
      <c r="AH995" s="84"/>
      <c r="AI995" s="66"/>
      <c r="AJ995" s="54"/>
      <c r="AK995" s="54"/>
      <c r="AL995" s="54"/>
    </row>
    <row r="996" spans="1:38" outlineLevel="2" collapsed="1" x14ac:dyDescent="0.25">
      <c r="A996" s="54"/>
      <c r="B996" s="63"/>
      <c r="C996" s="56">
        <f t="shared" si="125"/>
        <v>3</v>
      </c>
      <c r="D996" s="84"/>
      <c r="E996" s="79"/>
      <c r="F996" s="79" t="s">
        <v>2097</v>
      </c>
      <c r="G996" s="84"/>
      <c r="H996" s="87" t="s">
        <v>2098</v>
      </c>
      <c r="I996" s="108"/>
      <c r="J996" s="108"/>
      <c r="K996" s="87"/>
      <c r="L996" s="87"/>
      <c r="M996" s="87"/>
      <c r="N996" s="87"/>
      <c r="O996" s="87"/>
      <c r="P996" s="87"/>
      <c r="Q996" s="87"/>
      <c r="R996" s="87"/>
      <c r="S996" s="87"/>
      <c r="T996" s="87"/>
      <c r="U996" s="109">
        <f>0.046-U$993</f>
        <v>1.7999999999999999E-2</v>
      </c>
      <c r="V996" s="109">
        <f>0.046-V$993</f>
        <v>1.7999999999999999E-2</v>
      </c>
      <c r="W996" s="109">
        <f>0.046-W$993</f>
        <v>1.7999999999999999E-2</v>
      </c>
      <c r="X996" s="313">
        <f t="shared" si="133"/>
        <v>1.7999999999999999E-2</v>
      </c>
      <c r="Y996" s="109">
        <f>0.038-Y$993</f>
        <v>1.4999999999999999E-2</v>
      </c>
      <c r="Z996" s="313">
        <f t="shared" si="133"/>
        <v>1.4999999999999999E-2</v>
      </c>
      <c r="AA996" s="313">
        <f t="shared" si="133"/>
        <v>1.4999999999999999E-2</v>
      </c>
      <c r="AB996" s="313">
        <f t="shared" si="133"/>
        <v>1.4999999999999999E-2</v>
      </c>
      <c r="AC996" s="87"/>
      <c r="AD996" s="87"/>
      <c r="AE996" s="87"/>
      <c r="AF996" s="109">
        <v>1</v>
      </c>
      <c r="AG996" s="109">
        <v>1</v>
      </c>
      <c r="AH996" s="84"/>
      <c r="AI996" s="66"/>
      <c r="AJ996" s="54"/>
      <c r="AK996" s="54"/>
      <c r="AL996" s="54"/>
    </row>
    <row r="997" spans="1:38" hidden="1" outlineLevel="3" x14ac:dyDescent="0.25">
      <c r="A997" s="54"/>
      <c r="B997" s="63"/>
      <c r="C997" s="56">
        <f>INT($C$40)+3</f>
        <v>4</v>
      </c>
      <c r="D997" s="84"/>
      <c r="E997" s="79"/>
      <c r="F997" s="79" t="s">
        <v>2099</v>
      </c>
      <c r="G997" s="84"/>
      <c r="H997" s="87" t="s">
        <v>2100</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2101</v>
      </c>
      <c r="G998" s="84"/>
      <c r="H998" s="87" t="s">
        <v>2102</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2103</v>
      </c>
      <c r="G999" s="84"/>
      <c r="H999" s="87" t="s">
        <v>2104</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5"/>
        <v>3</v>
      </c>
      <c r="D1000" s="84"/>
      <c r="E1000" s="79"/>
      <c r="F1000" s="79" t="s">
        <v>2105</v>
      </c>
      <c r="G1000" s="84"/>
      <c r="H1000" s="87" t="s">
        <v>2106</v>
      </c>
      <c r="I1000" s="87"/>
      <c r="J1000" s="87"/>
      <c r="K1000" s="87"/>
      <c r="L1000" s="87"/>
      <c r="M1000" s="87"/>
      <c r="N1000" s="87"/>
      <c r="O1000" s="87"/>
      <c r="P1000" s="87"/>
      <c r="Q1000" s="87"/>
      <c r="R1000" s="87"/>
      <c r="S1000" s="87"/>
      <c r="T1000" s="87"/>
      <c r="U1000" s="109">
        <v>3.57</v>
      </c>
      <c r="V1000" s="109">
        <v>3.57</v>
      </c>
      <c r="W1000" s="109">
        <v>3.57</v>
      </c>
      <c r="X1000" s="313">
        <f t="shared" ref="X1000:AB1001" si="134">W1000</f>
        <v>3.57</v>
      </c>
      <c r="Y1000" s="109">
        <f>4+0.023*10</f>
        <v>4.2300000000000004</v>
      </c>
      <c r="Z1000" s="313">
        <f t="shared" si="134"/>
        <v>4.2300000000000004</v>
      </c>
      <c r="AA1000" s="313">
        <f t="shared" si="134"/>
        <v>4.2300000000000004</v>
      </c>
      <c r="AB1000" s="313">
        <f t="shared" si="134"/>
        <v>4.2300000000000004</v>
      </c>
      <c r="AC1000" s="87"/>
      <c r="AD1000" s="87"/>
      <c r="AE1000" s="87"/>
      <c r="AF1000" s="109">
        <v>1</v>
      </c>
      <c r="AG1000" s="109">
        <v>1</v>
      </c>
      <c r="AH1000" s="84"/>
      <c r="AI1000" s="66"/>
      <c r="AJ1000" s="54"/>
      <c r="AK1000" s="54"/>
      <c r="AL1000" s="54"/>
    </row>
    <row r="1001" spans="1:38" outlineLevel="2" x14ac:dyDescent="0.25">
      <c r="A1001" s="54"/>
      <c r="B1001" s="63"/>
      <c r="C1001" s="56">
        <f t="shared" si="125"/>
        <v>3</v>
      </c>
      <c r="D1001" s="84"/>
      <c r="E1001" s="79"/>
      <c r="F1001" s="79" t="s">
        <v>2107</v>
      </c>
      <c r="G1001" s="84"/>
      <c r="H1001" s="87" t="s">
        <v>2108</v>
      </c>
      <c r="I1001" s="108"/>
      <c r="J1001" s="108"/>
      <c r="K1001" s="87"/>
      <c r="L1001" s="87"/>
      <c r="M1001" s="87"/>
      <c r="N1001" s="87"/>
      <c r="O1001" s="87"/>
      <c r="P1001" s="87"/>
      <c r="Q1001" s="87"/>
      <c r="R1001" s="87"/>
      <c r="S1001" s="87"/>
      <c r="T1001" s="87"/>
      <c r="U1001" s="109">
        <v>0.18</v>
      </c>
      <c r="V1001" s="109">
        <v>0.18</v>
      </c>
      <c r="W1001" s="109">
        <v>0.18</v>
      </c>
      <c r="X1001" s="313">
        <f t="shared" si="134"/>
        <v>0.18</v>
      </c>
      <c r="Y1001" s="109">
        <v>0.13900000000000001</v>
      </c>
      <c r="Z1001" s="313">
        <f t="shared" si="134"/>
        <v>0.13900000000000001</v>
      </c>
      <c r="AA1001" s="313">
        <f t="shared" si="134"/>
        <v>0.13900000000000001</v>
      </c>
      <c r="AB1001" s="313">
        <f t="shared" si="134"/>
        <v>0.13900000000000001</v>
      </c>
      <c r="AC1001" s="87"/>
      <c r="AD1001" s="109" t="s">
        <v>1483</v>
      </c>
      <c r="AE1001" s="87"/>
      <c r="AF1001" s="109">
        <v>1</v>
      </c>
      <c r="AG1001" s="109">
        <v>1</v>
      </c>
      <c r="AH1001" s="84"/>
      <c r="AI1001" s="66"/>
      <c r="AJ1001" s="54"/>
      <c r="AK1001" s="54"/>
      <c r="AL1001" s="54"/>
    </row>
    <row r="1002" spans="1:38" outlineLevel="2" x14ac:dyDescent="0.25">
      <c r="A1002" s="54"/>
      <c r="B1002" s="63"/>
      <c r="C1002" s="56">
        <f t="shared" si="125"/>
        <v>3</v>
      </c>
      <c r="D1002" s="84"/>
      <c r="E1002" s="79"/>
      <c r="F1002" s="79" t="s">
        <v>2109</v>
      </c>
      <c r="G1002" s="84"/>
      <c r="H1002" s="87" t="s">
        <v>2110</v>
      </c>
      <c r="I1002" s="108"/>
      <c r="J1002" s="108"/>
      <c r="K1002" s="87"/>
      <c r="L1002" s="87"/>
      <c r="M1002" s="87"/>
      <c r="N1002" s="87"/>
      <c r="O1002" s="87"/>
      <c r="P1002" s="87"/>
      <c r="Q1002" s="87"/>
      <c r="R1002" s="87"/>
      <c r="S1002" s="87"/>
      <c r="T1002" s="87"/>
      <c r="U1002" s="311">
        <f t="shared" ref="U1002:AB1002" si="135">U1003</f>
        <v>0.03</v>
      </c>
      <c r="V1002" s="311">
        <f t="shared" si="135"/>
        <v>0.03</v>
      </c>
      <c r="W1002" s="311">
        <f t="shared" si="135"/>
        <v>0.03</v>
      </c>
      <c r="X1002" s="311">
        <f t="shared" si="135"/>
        <v>0.03</v>
      </c>
      <c r="Y1002" s="311">
        <f t="shared" si="135"/>
        <v>0.123</v>
      </c>
      <c r="Z1002" s="311">
        <f t="shared" si="135"/>
        <v>0.123</v>
      </c>
      <c r="AA1002" s="311">
        <f t="shared" si="135"/>
        <v>0.123</v>
      </c>
      <c r="AB1002" s="311">
        <f t="shared" si="135"/>
        <v>0.123</v>
      </c>
      <c r="AC1002" s="87"/>
      <c r="AD1002" s="109" t="s">
        <v>2420</v>
      </c>
      <c r="AE1002" s="87"/>
      <c r="AF1002" s="311">
        <f>AF1003</f>
        <v>1</v>
      </c>
      <c r="AG1002" s="311">
        <f>AG1003</f>
        <v>1</v>
      </c>
      <c r="AH1002" s="84"/>
      <c r="AI1002" s="66"/>
      <c r="AJ1002" s="54"/>
      <c r="AK1002" s="54"/>
      <c r="AL1002" s="54"/>
    </row>
    <row r="1003" spans="1:38" outlineLevel="2" x14ac:dyDescent="0.25">
      <c r="A1003" s="54"/>
      <c r="B1003" s="63"/>
      <c r="C1003" s="56">
        <f t="shared" si="125"/>
        <v>3</v>
      </c>
      <c r="D1003" s="84"/>
      <c r="E1003" s="79"/>
      <c r="F1003" s="79" t="s">
        <v>2111</v>
      </c>
      <c r="G1003" s="84"/>
      <c r="H1003" s="87" t="s">
        <v>1942</v>
      </c>
      <c r="I1003" s="108"/>
      <c r="J1003" s="108"/>
      <c r="K1003" s="87"/>
      <c r="L1003" s="87"/>
      <c r="M1003" s="87"/>
      <c r="N1003" s="87"/>
      <c r="O1003" s="87"/>
      <c r="P1003" s="87"/>
      <c r="Q1003" s="87"/>
      <c r="R1003" s="87"/>
      <c r="S1003" s="87"/>
      <c r="T1003" s="87"/>
      <c r="U1003" s="109">
        <f>0.21-U$1001</f>
        <v>0.03</v>
      </c>
      <c r="V1003" s="109">
        <f>0.21-V$1001</f>
        <v>0.03</v>
      </c>
      <c r="W1003" s="109">
        <f>0.21-W$1001</f>
        <v>0.03</v>
      </c>
      <c r="X1003" s="313">
        <f t="shared" ref="X1003:AB1009" si="136">W1003</f>
        <v>0.03</v>
      </c>
      <c r="Y1003" s="109">
        <f>0.146-Y$993</f>
        <v>0.123</v>
      </c>
      <c r="Z1003" s="313">
        <f t="shared" si="136"/>
        <v>0.123</v>
      </c>
      <c r="AA1003" s="313">
        <f t="shared" si="136"/>
        <v>0.123</v>
      </c>
      <c r="AB1003" s="313">
        <f t="shared" si="136"/>
        <v>0.123</v>
      </c>
      <c r="AC1003" s="87"/>
      <c r="AD1003" s="87"/>
      <c r="AE1003" s="87"/>
      <c r="AF1003" s="109">
        <v>1</v>
      </c>
      <c r="AG1003" s="109">
        <v>1</v>
      </c>
      <c r="AH1003" s="84"/>
      <c r="AI1003" s="66"/>
      <c r="AJ1003" s="54"/>
      <c r="AK1003" s="54"/>
      <c r="AL1003" s="54"/>
    </row>
    <row r="1004" spans="1:38" outlineLevel="2" x14ac:dyDescent="0.25">
      <c r="A1004" s="54"/>
      <c r="B1004" s="63"/>
      <c r="C1004" s="56">
        <f t="shared" si="125"/>
        <v>3</v>
      </c>
      <c r="D1004" s="84"/>
      <c r="E1004" s="79"/>
      <c r="F1004" s="79" t="s">
        <v>2112</v>
      </c>
      <c r="G1004" s="84"/>
      <c r="H1004" s="87" t="s">
        <v>1944</v>
      </c>
      <c r="I1004" s="108"/>
      <c r="J1004" s="108"/>
      <c r="K1004" s="87"/>
      <c r="L1004" s="87"/>
      <c r="M1004" s="87"/>
      <c r="N1004" s="87"/>
      <c r="O1004" s="87"/>
      <c r="P1004" s="87"/>
      <c r="Q1004" s="87"/>
      <c r="R1004" s="87"/>
      <c r="S1004" s="87"/>
      <c r="T1004" s="87"/>
      <c r="U1004" s="109">
        <f>0.14-U$1001</f>
        <v>-3.999999999999998E-2</v>
      </c>
      <c r="V1004" s="109">
        <f>0.14-V$1001</f>
        <v>-3.999999999999998E-2</v>
      </c>
      <c r="W1004" s="109">
        <f>0.14-W$1001</f>
        <v>-3.999999999999998E-2</v>
      </c>
      <c r="X1004" s="313">
        <f t="shared" si="136"/>
        <v>-3.999999999999998E-2</v>
      </c>
      <c r="Y1004" s="109">
        <f>0.109-Y$993</f>
        <v>8.5999999999999993E-2</v>
      </c>
      <c r="Z1004" s="313">
        <f t="shared" si="136"/>
        <v>8.5999999999999993E-2</v>
      </c>
      <c r="AA1004" s="313">
        <f t="shared" si="136"/>
        <v>8.5999999999999993E-2</v>
      </c>
      <c r="AB1004" s="313">
        <f t="shared" si="136"/>
        <v>8.5999999999999993E-2</v>
      </c>
      <c r="AC1004" s="87"/>
      <c r="AD1004" s="87"/>
      <c r="AE1004" s="87"/>
      <c r="AF1004" s="109">
        <v>1</v>
      </c>
      <c r="AG1004" s="109">
        <v>1</v>
      </c>
      <c r="AH1004" s="84"/>
      <c r="AI1004" s="66"/>
      <c r="AJ1004" s="54"/>
      <c r="AK1004" s="54"/>
      <c r="AL1004" s="54"/>
    </row>
    <row r="1005" spans="1:38" outlineLevel="2" x14ac:dyDescent="0.25">
      <c r="A1005" s="54"/>
      <c r="B1005" s="63"/>
      <c r="C1005" s="56">
        <f t="shared" si="125"/>
        <v>3</v>
      </c>
      <c r="D1005" s="84"/>
      <c r="E1005" s="79"/>
      <c r="F1005" s="79" t="s">
        <v>2113</v>
      </c>
      <c r="G1005" s="84"/>
      <c r="H1005" s="87" t="s">
        <v>1946</v>
      </c>
      <c r="I1005" s="87"/>
      <c r="J1005" s="87"/>
      <c r="K1005" s="87"/>
      <c r="L1005" s="87"/>
      <c r="M1005" s="87"/>
      <c r="N1005" s="87"/>
      <c r="O1005" s="87"/>
      <c r="P1005" s="87"/>
      <c r="Q1005" s="87"/>
      <c r="R1005" s="87"/>
      <c r="S1005" s="87"/>
      <c r="T1005" s="87"/>
      <c r="U1005" s="109">
        <f>0-U$1001</f>
        <v>-0.18</v>
      </c>
      <c r="V1005" s="109">
        <f>0-V$1001</f>
        <v>-0.18</v>
      </c>
      <c r="W1005" s="109">
        <f>0-W$1001</f>
        <v>-0.18</v>
      </c>
      <c r="X1005" s="313">
        <f t="shared" si="136"/>
        <v>-0.18</v>
      </c>
      <c r="Y1005" s="87">
        <v>0</v>
      </c>
      <c r="Z1005" s="313">
        <f t="shared" si="136"/>
        <v>0</v>
      </c>
      <c r="AA1005" s="313">
        <f t="shared" si="136"/>
        <v>0</v>
      </c>
      <c r="AB1005" s="313">
        <f t="shared" si="136"/>
        <v>0</v>
      </c>
      <c r="AC1005" s="87"/>
      <c r="AD1005" s="87"/>
      <c r="AE1005" s="87"/>
      <c r="AF1005" s="109">
        <v>1</v>
      </c>
      <c r="AG1005" s="109">
        <v>1</v>
      </c>
      <c r="AH1005" s="84"/>
      <c r="AI1005" s="66"/>
      <c r="AJ1005" s="54"/>
      <c r="AK1005" s="54"/>
      <c r="AL1005" s="54"/>
    </row>
    <row r="1006" spans="1:38" outlineLevel="2" x14ac:dyDescent="0.25">
      <c r="A1006" s="54"/>
      <c r="B1006" s="63"/>
      <c r="C1006" s="56">
        <f t="shared" si="125"/>
        <v>3</v>
      </c>
      <c r="D1006" s="84"/>
      <c r="E1006" s="79"/>
      <c r="F1006" s="79" t="s">
        <v>2114</v>
      </c>
      <c r="G1006" s="84"/>
      <c r="H1006" s="87" t="s">
        <v>2102</v>
      </c>
      <c r="I1006" s="87"/>
      <c r="J1006" s="87"/>
      <c r="K1006" s="87"/>
      <c r="L1006" s="87"/>
      <c r="M1006" s="87"/>
      <c r="N1006" s="87"/>
      <c r="O1006" s="87"/>
      <c r="P1006" s="87"/>
      <c r="Q1006" s="87"/>
      <c r="R1006" s="87"/>
      <c r="S1006" s="87"/>
      <c r="T1006" s="87"/>
      <c r="U1006" s="109">
        <v>7.9000000000000008E-3</v>
      </c>
      <c r="V1006" s="109">
        <v>7.9000000000000008E-3</v>
      </c>
      <c r="W1006" s="109">
        <v>7.9000000000000008E-3</v>
      </c>
      <c r="X1006" s="313">
        <f t="shared" si="136"/>
        <v>7.9000000000000008E-3</v>
      </c>
      <c r="Y1006" s="87">
        <v>0</v>
      </c>
      <c r="Z1006" s="313">
        <f t="shared" si="136"/>
        <v>0</v>
      </c>
      <c r="AA1006" s="313">
        <f t="shared" si="136"/>
        <v>0</v>
      </c>
      <c r="AB1006" s="313">
        <f t="shared" si="136"/>
        <v>0</v>
      </c>
      <c r="AC1006" s="87"/>
      <c r="AD1006" s="87"/>
      <c r="AE1006" s="87"/>
      <c r="AF1006" s="109">
        <v>1</v>
      </c>
      <c r="AG1006" s="109">
        <v>1</v>
      </c>
      <c r="AH1006" s="84"/>
      <c r="AI1006" s="66"/>
      <c r="AJ1006" s="54"/>
      <c r="AK1006" s="54"/>
      <c r="AL1006" s="54"/>
    </row>
    <row r="1007" spans="1:38" outlineLevel="2" x14ac:dyDescent="0.25">
      <c r="A1007" s="54"/>
      <c r="B1007" s="63"/>
      <c r="C1007" s="56">
        <f t="shared" si="125"/>
        <v>3</v>
      </c>
      <c r="D1007" s="84"/>
      <c r="E1007" s="79"/>
      <c r="F1007" s="79" t="s">
        <v>2115</v>
      </c>
      <c r="G1007" s="84"/>
      <c r="H1007" s="87" t="s">
        <v>2104</v>
      </c>
      <c r="I1007" s="87"/>
      <c r="J1007" s="87"/>
      <c r="K1007" s="87"/>
      <c r="L1007" s="87"/>
      <c r="M1007" s="87"/>
      <c r="N1007" s="87"/>
      <c r="O1007" s="87"/>
      <c r="P1007" s="87"/>
      <c r="Q1007" s="87"/>
      <c r="R1007" s="87"/>
      <c r="S1007" s="87"/>
      <c r="T1007" s="87"/>
      <c r="U1007" s="109">
        <v>-1.5E-6</v>
      </c>
      <c r="V1007" s="109">
        <v>-1.5E-6</v>
      </c>
      <c r="W1007" s="109">
        <v>-1.5E-6</v>
      </c>
      <c r="X1007" s="313">
        <f t="shared" si="136"/>
        <v>-1.5E-6</v>
      </c>
      <c r="Y1007" s="87">
        <v>0</v>
      </c>
      <c r="Z1007" s="313">
        <f t="shared" si="136"/>
        <v>0</v>
      </c>
      <c r="AA1007" s="313">
        <f t="shared" si="136"/>
        <v>0</v>
      </c>
      <c r="AB1007" s="313">
        <f t="shared" si="136"/>
        <v>0</v>
      </c>
      <c r="AC1007" s="87"/>
      <c r="AD1007" s="87"/>
      <c r="AE1007" s="87"/>
      <c r="AF1007" s="109">
        <v>1</v>
      </c>
      <c r="AG1007" s="109">
        <v>1</v>
      </c>
      <c r="AH1007" s="84"/>
      <c r="AI1007" s="66"/>
      <c r="AJ1007" s="54"/>
      <c r="AK1007" s="54"/>
      <c r="AL1007" s="54"/>
    </row>
    <row r="1008" spans="1:38" outlineLevel="2" x14ac:dyDescent="0.25">
      <c r="A1008" s="54"/>
      <c r="B1008" s="63"/>
      <c r="C1008" s="56">
        <f t="shared" si="125"/>
        <v>3</v>
      </c>
      <c r="D1008" s="84"/>
      <c r="E1008" s="79"/>
      <c r="F1008" s="79" t="s">
        <v>2116</v>
      </c>
      <c r="G1008" s="84"/>
      <c r="H1008" s="87" t="s">
        <v>2117</v>
      </c>
      <c r="I1008" s="87"/>
      <c r="J1008" s="87"/>
      <c r="K1008" s="87"/>
      <c r="L1008" s="87"/>
      <c r="M1008" s="87"/>
      <c r="N1008" s="87"/>
      <c r="O1008" s="87"/>
      <c r="P1008" s="87"/>
      <c r="Q1008" s="87"/>
      <c r="R1008" s="87"/>
      <c r="S1008" s="87"/>
      <c r="T1008" s="87"/>
      <c r="U1008" s="109">
        <v>4.5599999999999996</v>
      </c>
      <c r="V1008" s="109">
        <v>4.5599999999999996</v>
      </c>
      <c r="W1008" s="109">
        <v>4.5599999999999996</v>
      </c>
      <c r="X1008" s="313">
        <f t="shared" si="136"/>
        <v>4.5599999999999996</v>
      </c>
      <c r="Y1008" s="109">
        <f>27-0.226*10</f>
        <v>24.74</v>
      </c>
      <c r="Z1008" s="313">
        <f t="shared" si="136"/>
        <v>24.74</v>
      </c>
      <c r="AA1008" s="313">
        <f t="shared" si="136"/>
        <v>24.74</v>
      </c>
      <c r="AB1008" s="313">
        <f t="shared" si="136"/>
        <v>24.74</v>
      </c>
      <c r="AC1008" s="87"/>
      <c r="AD1008" s="87"/>
      <c r="AE1008" s="87"/>
      <c r="AF1008" s="109">
        <v>1</v>
      </c>
      <c r="AG1008" s="109">
        <v>1</v>
      </c>
      <c r="AH1008" s="84"/>
      <c r="AI1008" s="66"/>
      <c r="AJ1008" s="54"/>
      <c r="AK1008" s="54"/>
      <c r="AL1008" s="54"/>
    </row>
    <row r="1009" spans="1:38" outlineLevel="2" x14ac:dyDescent="0.25">
      <c r="A1009" s="54"/>
      <c r="B1009" s="63"/>
      <c r="C1009" s="56">
        <f t="shared" si="125"/>
        <v>3</v>
      </c>
      <c r="D1009" s="84"/>
      <c r="E1009" s="79"/>
      <c r="F1009" s="79" t="s">
        <v>2118</v>
      </c>
      <c r="G1009" s="84"/>
      <c r="H1009" s="87" t="s">
        <v>2119</v>
      </c>
      <c r="I1009" s="108"/>
      <c r="J1009" s="108"/>
      <c r="K1009" s="87"/>
      <c r="L1009" s="87"/>
      <c r="M1009" s="87"/>
      <c r="N1009" s="87"/>
      <c r="O1009" s="87"/>
      <c r="P1009" s="87"/>
      <c r="Q1009" s="87"/>
      <c r="R1009" s="87"/>
      <c r="S1009" s="87"/>
      <c r="T1009" s="87"/>
      <c r="U1009" s="109">
        <f>2.05/1000</f>
        <v>2.0499999999999997E-3</v>
      </c>
      <c r="V1009" s="109">
        <f>2.05/1000</f>
        <v>2.0499999999999997E-3</v>
      </c>
      <c r="W1009" s="109">
        <f>2.05/1000</f>
        <v>2.0499999999999997E-3</v>
      </c>
      <c r="X1009" s="313">
        <f t="shared" si="136"/>
        <v>2.0499999999999997E-3</v>
      </c>
      <c r="Y1009" s="313">
        <f t="shared" si="136"/>
        <v>2.0499999999999997E-3</v>
      </c>
      <c r="Z1009" s="313">
        <f t="shared" si="136"/>
        <v>2.0499999999999997E-3</v>
      </c>
      <c r="AA1009" s="313">
        <f t="shared" si="136"/>
        <v>2.0499999999999997E-3</v>
      </c>
      <c r="AB1009" s="313">
        <f t="shared" si="136"/>
        <v>2.0499999999999997E-3</v>
      </c>
      <c r="AC1009" s="87"/>
      <c r="AD1009" s="109" t="s">
        <v>1490</v>
      </c>
      <c r="AE1009" s="87"/>
      <c r="AF1009" s="109">
        <v>1</v>
      </c>
      <c r="AG1009" s="109">
        <v>1</v>
      </c>
      <c r="AH1009" s="84"/>
      <c r="AI1009" s="66"/>
      <c r="AJ1009" s="54"/>
      <c r="AK1009" s="54"/>
      <c r="AL1009" s="54"/>
    </row>
    <row r="1010" spans="1:38" outlineLevel="2" x14ac:dyDescent="0.25">
      <c r="A1010" s="54"/>
      <c r="B1010" s="63"/>
      <c r="C1010" s="56">
        <f t="shared" si="125"/>
        <v>3</v>
      </c>
      <c r="D1010" s="84"/>
      <c r="E1010" s="79"/>
      <c r="F1010" s="79" t="s">
        <v>2120</v>
      </c>
      <c r="G1010" s="84"/>
      <c r="H1010" s="87" t="s">
        <v>2121</v>
      </c>
      <c r="I1010" s="108"/>
      <c r="J1010" s="108"/>
      <c r="K1010" s="87"/>
      <c r="L1010" s="87"/>
      <c r="M1010" s="87"/>
      <c r="N1010" s="87"/>
      <c r="O1010" s="87"/>
      <c r="P1010" s="87"/>
      <c r="Q1010" s="87"/>
      <c r="R1010" s="87"/>
      <c r="S1010" s="87"/>
      <c r="T1010" s="87"/>
      <c r="U1010" s="311">
        <f t="shared" ref="U1010:AB1010" si="137">U1011</f>
        <v>-5.9999999999999724E-5</v>
      </c>
      <c r="V1010" s="311">
        <f t="shared" si="137"/>
        <v>-5.9999999999999724E-5</v>
      </c>
      <c r="W1010" s="311">
        <f t="shared" si="137"/>
        <v>-5.9999999999999724E-5</v>
      </c>
      <c r="X1010" s="311">
        <f t="shared" si="137"/>
        <v>-5.9999999999999724E-5</v>
      </c>
      <c r="Y1010" s="311">
        <f t="shared" si="137"/>
        <v>-5.9999999999999724E-5</v>
      </c>
      <c r="Z1010" s="311">
        <f t="shared" si="137"/>
        <v>-5.9999999999999724E-5</v>
      </c>
      <c r="AA1010" s="311">
        <f t="shared" si="137"/>
        <v>-5.9999999999999724E-5</v>
      </c>
      <c r="AB1010" s="311">
        <f t="shared" si="137"/>
        <v>-5.9999999999999724E-5</v>
      </c>
      <c r="AC1010" s="87"/>
      <c r="AD1010" s="87"/>
      <c r="AE1010" s="87"/>
      <c r="AF1010" s="311">
        <f>AF1011</f>
        <v>1</v>
      </c>
      <c r="AG1010" s="311">
        <f>AG1011</f>
        <v>1</v>
      </c>
      <c r="AH1010" s="84"/>
      <c r="AI1010" s="66"/>
      <c r="AJ1010" s="54"/>
      <c r="AK1010" s="54"/>
      <c r="AL1010" s="54"/>
    </row>
    <row r="1011" spans="1:38" outlineLevel="2" x14ac:dyDescent="0.25">
      <c r="A1011" s="54"/>
      <c r="B1011" s="63"/>
      <c r="C1011" s="56">
        <f t="shared" si="125"/>
        <v>3</v>
      </c>
      <c r="D1011" s="84"/>
      <c r="E1011" s="79"/>
      <c r="F1011" s="79" t="s">
        <v>2122</v>
      </c>
      <c r="G1011" s="84"/>
      <c r="H1011" s="87" t="s">
        <v>2123</v>
      </c>
      <c r="I1011" s="108"/>
      <c r="J1011" s="108"/>
      <c r="K1011" s="87"/>
      <c r="L1011" s="87"/>
      <c r="M1011" s="87"/>
      <c r="N1011" s="87"/>
      <c r="O1011" s="87"/>
      <c r="P1011" s="87"/>
      <c r="Q1011" s="87"/>
      <c r="R1011" s="87"/>
      <c r="S1011" s="87"/>
      <c r="T1011" s="87"/>
      <c r="U1011" s="109">
        <f>1.99/1000-U$1009</f>
        <v>-5.9999999999999724E-5</v>
      </c>
      <c r="V1011" s="109">
        <f>1.99/1000-V$1009</f>
        <v>-5.9999999999999724E-5</v>
      </c>
      <c r="W1011" s="109">
        <f>1.99/1000-W$1009</f>
        <v>-5.9999999999999724E-5</v>
      </c>
      <c r="X1011" s="313">
        <f t="shared" ref="X1011:AB1016" si="138">W1011</f>
        <v>-5.9999999999999724E-5</v>
      </c>
      <c r="Y1011" s="313">
        <f t="shared" si="138"/>
        <v>-5.9999999999999724E-5</v>
      </c>
      <c r="Z1011" s="313">
        <f t="shared" si="138"/>
        <v>-5.9999999999999724E-5</v>
      </c>
      <c r="AA1011" s="313">
        <f t="shared" si="138"/>
        <v>-5.9999999999999724E-5</v>
      </c>
      <c r="AB1011" s="313">
        <f t="shared" si="138"/>
        <v>-5.9999999999999724E-5</v>
      </c>
      <c r="AC1011" s="87"/>
      <c r="AD1011" s="87"/>
      <c r="AE1011" s="87"/>
      <c r="AF1011" s="109">
        <v>1</v>
      </c>
      <c r="AG1011" s="109">
        <v>1</v>
      </c>
      <c r="AH1011" s="84"/>
      <c r="AI1011" s="66"/>
      <c r="AJ1011" s="54"/>
      <c r="AK1011" s="54"/>
      <c r="AL1011" s="54"/>
    </row>
    <row r="1012" spans="1:38" outlineLevel="2" x14ac:dyDescent="0.25">
      <c r="A1012" s="54"/>
      <c r="B1012" s="63"/>
      <c r="C1012" s="56">
        <f t="shared" si="125"/>
        <v>3</v>
      </c>
      <c r="D1012" s="84"/>
      <c r="E1012" s="79"/>
      <c r="F1012" s="79" t="s">
        <v>2124</v>
      </c>
      <c r="G1012" s="84"/>
      <c r="H1012" s="87" t="s">
        <v>2125</v>
      </c>
      <c r="I1012" s="108"/>
      <c r="J1012" s="108"/>
      <c r="K1012" s="87"/>
      <c r="L1012" s="87"/>
      <c r="M1012" s="87"/>
      <c r="N1012" s="87"/>
      <c r="O1012" s="87"/>
      <c r="P1012" s="87"/>
      <c r="Q1012" s="87"/>
      <c r="R1012" s="87"/>
      <c r="S1012" s="87"/>
      <c r="T1012" s="87"/>
      <c r="U1012" s="109">
        <f>1.4/1000-U$1009</f>
        <v>-6.4999999999999975E-4</v>
      </c>
      <c r="V1012" s="109">
        <f>1.4/1000-V$1009</f>
        <v>-6.4999999999999975E-4</v>
      </c>
      <c r="W1012" s="109">
        <f>1.4/1000-W$1009</f>
        <v>-6.4999999999999975E-4</v>
      </c>
      <c r="X1012" s="313">
        <f t="shared" si="138"/>
        <v>-6.4999999999999975E-4</v>
      </c>
      <c r="Y1012" s="313">
        <f t="shared" si="138"/>
        <v>-6.4999999999999975E-4</v>
      </c>
      <c r="Z1012" s="313">
        <f t="shared" si="138"/>
        <v>-6.4999999999999975E-4</v>
      </c>
      <c r="AA1012" s="313">
        <f t="shared" si="138"/>
        <v>-6.4999999999999975E-4</v>
      </c>
      <c r="AB1012" s="313">
        <f t="shared" si="138"/>
        <v>-6.4999999999999975E-4</v>
      </c>
      <c r="AC1012" s="87"/>
      <c r="AD1012" s="87"/>
      <c r="AE1012" s="87"/>
      <c r="AF1012" s="109">
        <v>1</v>
      </c>
      <c r="AG1012" s="109">
        <v>1</v>
      </c>
      <c r="AH1012" s="84"/>
      <c r="AI1012" s="66"/>
      <c r="AJ1012" s="54"/>
      <c r="AK1012" s="54"/>
      <c r="AL1012" s="54"/>
    </row>
    <row r="1013" spans="1:38" outlineLevel="2" x14ac:dyDescent="0.25">
      <c r="A1013" s="54"/>
      <c r="B1013" s="63"/>
      <c r="C1013" s="56">
        <f t="shared" si="125"/>
        <v>3</v>
      </c>
      <c r="D1013" s="84"/>
      <c r="E1013" s="79"/>
      <c r="F1013" s="79" t="s">
        <v>2126</v>
      </c>
      <c r="G1013" s="84"/>
      <c r="H1013" s="87" t="s">
        <v>2127</v>
      </c>
      <c r="I1013" s="87"/>
      <c r="J1013" s="87"/>
      <c r="K1013" s="87"/>
      <c r="L1013" s="87"/>
      <c r="M1013" s="87"/>
      <c r="N1013" s="87"/>
      <c r="O1013" s="87"/>
      <c r="P1013" s="87"/>
      <c r="Q1013" s="87"/>
      <c r="R1013" s="87"/>
      <c r="S1013" s="87"/>
      <c r="T1013" s="87"/>
      <c r="U1013" s="109">
        <f>0-U$1009</f>
        <v>-2.0499999999999997E-3</v>
      </c>
      <c r="V1013" s="109">
        <f>0-V$1009</f>
        <v>-2.0499999999999997E-3</v>
      </c>
      <c r="W1013" s="109">
        <f>0-W$1009</f>
        <v>-2.0499999999999997E-3</v>
      </c>
      <c r="X1013" s="313">
        <f t="shared" si="138"/>
        <v>-2.0499999999999997E-3</v>
      </c>
      <c r="Y1013" s="313">
        <f t="shared" si="138"/>
        <v>-2.0499999999999997E-3</v>
      </c>
      <c r="Z1013" s="313">
        <f t="shared" si="138"/>
        <v>-2.0499999999999997E-3</v>
      </c>
      <c r="AA1013" s="313">
        <f t="shared" si="138"/>
        <v>-2.0499999999999997E-3</v>
      </c>
      <c r="AB1013" s="313">
        <f t="shared" si="138"/>
        <v>-2.0499999999999997E-3</v>
      </c>
      <c r="AC1013" s="87"/>
      <c r="AD1013" s="87"/>
      <c r="AE1013" s="87"/>
      <c r="AF1013" s="109">
        <v>1</v>
      </c>
      <c r="AG1013" s="109">
        <v>1</v>
      </c>
      <c r="AH1013" s="84"/>
      <c r="AI1013" s="66"/>
      <c r="AJ1013" s="54"/>
      <c r="AK1013" s="54"/>
      <c r="AL1013" s="54"/>
    </row>
    <row r="1014" spans="1:38" outlineLevel="2" x14ac:dyDescent="0.25">
      <c r="A1014" s="54"/>
      <c r="B1014" s="63"/>
      <c r="C1014" s="56">
        <f t="shared" si="125"/>
        <v>3</v>
      </c>
      <c r="D1014" s="84"/>
      <c r="E1014" s="79"/>
      <c r="F1014" s="79" t="s">
        <v>2128</v>
      </c>
      <c r="G1014" s="84"/>
      <c r="H1014" s="87" t="s">
        <v>2129</v>
      </c>
      <c r="I1014" s="87"/>
      <c r="J1014" s="87"/>
      <c r="K1014" s="87"/>
      <c r="L1014" s="87"/>
      <c r="M1014" s="87"/>
      <c r="N1014" s="87"/>
      <c r="O1014" s="87"/>
      <c r="P1014" s="87"/>
      <c r="Q1014" s="87"/>
      <c r="R1014" s="87"/>
      <c r="S1014" s="87"/>
      <c r="T1014" s="87"/>
      <c r="U1014" s="109">
        <f>0.102/1000</f>
        <v>1.02E-4</v>
      </c>
      <c r="V1014" s="109">
        <f>0.102/1000</f>
        <v>1.02E-4</v>
      </c>
      <c r="W1014" s="109">
        <f>0.102/1000</f>
        <v>1.02E-4</v>
      </c>
      <c r="X1014" s="313">
        <f t="shared" si="138"/>
        <v>1.02E-4</v>
      </c>
      <c r="Y1014" s="313">
        <f t="shared" si="138"/>
        <v>1.02E-4</v>
      </c>
      <c r="Z1014" s="313">
        <f t="shared" si="138"/>
        <v>1.02E-4</v>
      </c>
      <c r="AA1014" s="313">
        <f t="shared" si="138"/>
        <v>1.02E-4</v>
      </c>
      <c r="AB1014" s="313">
        <f t="shared" si="138"/>
        <v>1.02E-4</v>
      </c>
      <c r="AC1014" s="87"/>
      <c r="AD1014" s="87"/>
      <c r="AE1014" s="87"/>
      <c r="AF1014" s="109">
        <v>1</v>
      </c>
      <c r="AG1014" s="109">
        <v>1</v>
      </c>
      <c r="AH1014" s="84"/>
      <c r="AI1014" s="66"/>
      <c r="AJ1014" s="54"/>
      <c r="AK1014" s="54"/>
      <c r="AL1014" s="54"/>
    </row>
    <row r="1015" spans="1:38" outlineLevel="2" x14ac:dyDescent="0.25">
      <c r="A1015" s="54"/>
      <c r="B1015" s="63"/>
      <c r="C1015" s="56">
        <f t="shared" si="125"/>
        <v>3</v>
      </c>
      <c r="D1015" s="84"/>
      <c r="E1015" s="79"/>
      <c r="F1015" s="79" t="s">
        <v>2130</v>
      </c>
      <c r="G1015" s="84"/>
      <c r="H1015" s="87" t="s">
        <v>2131</v>
      </c>
      <c r="I1015" s="87"/>
      <c r="J1015" s="87"/>
      <c r="K1015" s="87"/>
      <c r="L1015" s="87"/>
      <c r="M1015" s="87"/>
      <c r="N1015" s="87"/>
      <c r="O1015" s="87"/>
      <c r="P1015" s="87"/>
      <c r="Q1015" s="87"/>
      <c r="R1015" s="87"/>
      <c r="S1015" s="87"/>
      <c r="T1015" s="87"/>
      <c r="U1015" s="109">
        <f>-0.000019/1000</f>
        <v>-1.9000000000000001E-8</v>
      </c>
      <c r="V1015" s="109">
        <f>-0.000019/1000</f>
        <v>-1.9000000000000001E-8</v>
      </c>
      <c r="W1015" s="109">
        <f>-0.000019/1000</f>
        <v>-1.9000000000000001E-8</v>
      </c>
      <c r="X1015" s="313">
        <f t="shared" si="138"/>
        <v>-1.9000000000000001E-8</v>
      </c>
      <c r="Y1015" s="313">
        <f t="shared" si="138"/>
        <v>-1.9000000000000001E-8</v>
      </c>
      <c r="Z1015" s="313">
        <f t="shared" si="138"/>
        <v>-1.9000000000000001E-8</v>
      </c>
      <c r="AA1015" s="313">
        <f t="shared" si="138"/>
        <v>-1.9000000000000001E-8</v>
      </c>
      <c r="AB1015" s="313">
        <f t="shared" si="138"/>
        <v>-1.9000000000000001E-8</v>
      </c>
      <c r="AC1015" s="87"/>
      <c r="AD1015" s="87"/>
      <c r="AE1015" s="87"/>
      <c r="AF1015" s="109">
        <v>1</v>
      </c>
      <c r="AG1015" s="109">
        <v>1</v>
      </c>
      <c r="AH1015" s="84"/>
      <c r="AI1015" s="66"/>
      <c r="AJ1015" s="54"/>
      <c r="AK1015" s="54"/>
      <c r="AL1015" s="54"/>
    </row>
    <row r="1016" spans="1:38" outlineLevel="2" x14ac:dyDescent="0.25">
      <c r="A1016" s="54"/>
      <c r="B1016" s="63"/>
      <c r="C1016" s="56">
        <f t="shared" si="125"/>
        <v>3</v>
      </c>
      <c r="D1016" s="84"/>
      <c r="E1016" s="79"/>
      <c r="F1016" s="79" t="s">
        <v>2132</v>
      </c>
      <c r="G1016" s="84"/>
      <c r="H1016" s="87" t="s">
        <v>2133</v>
      </c>
      <c r="I1016" s="87"/>
      <c r="J1016" s="87"/>
      <c r="K1016" s="87"/>
      <c r="L1016" s="87"/>
      <c r="M1016" s="87"/>
      <c r="N1016" s="87"/>
      <c r="O1016" s="87"/>
      <c r="P1016" s="87"/>
      <c r="Q1016" s="87"/>
      <c r="R1016" s="87"/>
      <c r="S1016" s="87"/>
      <c r="T1016" s="87"/>
      <c r="U1016" s="109">
        <f>14.9/1000</f>
        <v>1.49E-2</v>
      </c>
      <c r="V1016" s="109">
        <f>14.9/1000</f>
        <v>1.49E-2</v>
      </c>
      <c r="W1016" s="109">
        <f>14.9/1000</f>
        <v>1.49E-2</v>
      </c>
      <c r="X1016" s="313">
        <f t="shared" si="138"/>
        <v>1.49E-2</v>
      </c>
      <c r="Y1016" s="313">
        <f t="shared" si="138"/>
        <v>1.49E-2</v>
      </c>
      <c r="Z1016" s="313">
        <f t="shared" si="138"/>
        <v>1.49E-2</v>
      </c>
      <c r="AA1016" s="313">
        <f t="shared" si="138"/>
        <v>1.49E-2</v>
      </c>
      <c r="AB1016" s="313">
        <f t="shared" si="138"/>
        <v>1.49E-2</v>
      </c>
      <c r="AC1016" s="87"/>
      <c r="AD1016" s="87"/>
      <c r="AE1016" s="87"/>
      <c r="AF1016" s="109">
        <v>1</v>
      </c>
      <c r="AG1016" s="109">
        <v>1</v>
      </c>
      <c r="AH1016" s="84"/>
      <c r="AI1016" s="66"/>
      <c r="AJ1016" s="54"/>
      <c r="AK1016" s="54"/>
      <c r="AL1016" s="54"/>
    </row>
    <row r="1017" spans="1:38" outlineLevel="1" x14ac:dyDescent="0.25">
      <c r="A1017" s="54"/>
      <c r="B1017" s="63"/>
      <c r="C1017" s="56">
        <f>INT($C$40)+1</f>
        <v>2</v>
      </c>
      <c r="D1017" s="84"/>
      <c r="E1017" s="79"/>
      <c r="F1017" s="327" t="s">
        <v>1921</v>
      </c>
      <c r="G1017" s="84"/>
      <c r="H1017" s="329" t="s">
        <v>2134</v>
      </c>
      <c r="I1017" s="149"/>
      <c r="J1017" s="149" t="s">
        <v>1192</v>
      </c>
      <c r="K1017" s="87"/>
      <c r="L1017" s="87"/>
      <c r="M1017" s="87"/>
      <c r="N1017" s="87"/>
      <c r="O1017" s="87"/>
      <c r="P1017" s="87"/>
      <c r="Q1017" s="87"/>
      <c r="R1017" s="87"/>
      <c r="S1017" s="87"/>
      <c r="T1017" s="87"/>
      <c r="U1017" s="91">
        <v>23</v>
      </c>
      <c r="V1017" s="91">
        <v>6</v>
      </c>
      <c r="W1017" s="91">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9">INT($C$40)+3</f>
        <v>4</v>
      </c>
      <c r="D1018" s="84"/>
      <c r="E1018" s="79"/>
      <c r="F1018" s="79" t="s">
        <v>2135</v>
      </c>
      <c r="G1018" s="84"/>
      <c r="H1018" s="87" t="s">
        <v>2136</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9"/>
        <v>4</v>
      </c>
      <c r="D1019" s="84"/>
      <c r="E1019" s="79"/>
      <c r="F1019" s="79" t="s">
        <v>2137</v>
      </c>
      <c r="G1019" s="84"/>
      <c r="H1019" s="87" t="s">
        <v>2138</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9"/>
        <v>4</v>
      </c>
      <c r="D1020" s="84"/>
      <c r="E1020" s="79"/>
      <c r="F1020" s="79" t="s">
        <v>2139</v>
      </c>
      <c r="G1020" s="84"/>
      <c r="H1020" s="87" t="s">
        <v>2140</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9"/>
        <v>4</v>
      </c>
      <c r="D1021" s="84"/>
      <c r="E1021" s="79"/>
      <c r="F1021" s="79" t="s">
        <v>2141</v>
      </c>
      <c r="G1021" s="84"/>
      <c r="H1021" s="87" t="s">
        <v>2142</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9"/>
        <v>4</v>
      </c>
      <c r="D1022" s="84"/>
      <c r="E1022" s="79"/>
      <c r="F1022" s="79" t="s">
        <v>2143</v>
      </c>
      <c r="G1022" s="84"/>
      <c r="H1022" s="87" t="s">
        <v>2144</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9"/>
        <v>4</v>
      </c>
      <c r="D1023" s="84"/>
      <c r="E1023" s="79"/>
      <c r="F1023" s="79" t="s">
        <v>2145</v>
      </c>
      <c r="G1023" s="84"/>
      <c r="H1023" s="87" t="s">
        <v>2146</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2147</v>
      </c>
      <c r="G1024" s="84"/>
      <c r="H1024" s="87" t="s">
        <v>727</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2148</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2149</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2150</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2151</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2152</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2153</v>
      </c>
      <c r="G1030" s="84"/>
      <c r="H1030" s="87" t="s">
        <v>727</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2154</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2155</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2156</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2157</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2158</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2159</v>
      </c>
      <c r="G1036" s="84"/>
      <c r="H1036" s="87" t="s">
        <v>727</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2160</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2161</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2162</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2163</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2164</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2165</v>
      </c>
      <c r="G1042" s="84"/>
      <c r="H1042" s="87" t="s">
        <v>727</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2166</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2167</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2168</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2169</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2170</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2171</v>
      </c>
      <c r="G1048" s="84"/>
      <c r="H1048" s="87" t="s">
        <v>727</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2172</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2173</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2174</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2175</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2176</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2177</v>
      </c>
      <c r="G1054" s="84"/>
      <c r="H1054" s="87" t="s">
        <v>727</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2178</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2179</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2180</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2181</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2182</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2183</v>
      </c>
      <c r="G1060" s="84"/>
      <c r="H1060" s="87" t="s">
        <v>727</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2184</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2185</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2186</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2187</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2188</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25">
      <c r="A1066" s="54"/>
      <c r="B1066" s="63"/>
      <c r="C1066" s="56">
        <f t="shared" ref="C1066:C1071" si="140">INT($C$40)+2</f>
        <v>3</v>
      </c>
      <c r="D1066" s="84"/>
      <c r="E1066" s="79"/>
      <c r="F1066" s="79" t="s">
        <v>2189</v>
      </c>
      <c r="G1066" s="84"/>
      <c r="H1066" s="87" t="s">
        <v>2190</v>
      </c>
      <c r="I1066" s="87"/>
      <c r="J1066" s="87"/>
      <c r="K1066" s="87"/>
      <c r="L1066" s="87"/>
      <c r="M1066" s="87"/>
      <c r="N1066" s="87"/>
      <c r="O1066" s="87"/>
      <c r="P1066" s="87"/>
      <c r="Q1066" s="87"/>
      <c r="R1066" s="87"/>
      <c r="S1066" s="87"/>
      <c r="T1066" s="87"/>
      <c r="U1066" s="109">
        <v>3.7080000000000002</v>
      </c>
      <c r="V1066" s="109">
        <v>3.7080000000000002</v>
      </c>
      <c r="W1066" s="109">
        <v>3.7080000000000002</v>
      </c>
      <c r="X1066" s="313">
        <f t="shared" ref="X1066:AB1071" si="141">W1066</f>
        <v>3.7080000000000002</v>
      </c>
      <c r="Y1066" s="313">
        <f t="shared" si="141"/>
        <v>3.7080000000000002</v>
      </c>
      <c r="Z1066" s="313">
        <f t="shared" si="141"/>
        <v>3.7080000000000002</v>
      </c>
      <c r="AA1066" s="313">
        <f t="shared" si="141"/>
        <v>3.7080000000000002</v>
      </c>
      <c r="AB1066" s="313">
        <f t="shared" si="141"/>
        <v>3.7080000000000002</v>
      </c>
      <c r="AC1066" s="87"/>
      <c r="AD1066" s="109" t="s">
        <v>2191</v>
      </c>
      <c r="AE1066" s="87"/>
      <c r="AF1066" s="109">
        <v>1</v>
      </c>
      <c r="AG1066" s="109">
        <v>1</v>
      </c>
      <c r="AH1066" s="84"/>
      <c r="AI1066" s="66"/>
      <c r="AJ1066" s="54"/>
      <c r="AK1066" s="54"/>
      <c r="AL1066" s="54"/>
    </row>
    <row r="1067" spans="1:38" outlineLevel="2" x14ac:dyDescent="0.25">
      <c r="A1067" s="54"/>
      <c r="B1067" s="63"/>
      <c r="C1067" s="56">
        <f t="shared" si="140"/>
        <v>3</v>
      </c>
      <c r="D1067" s="84"/>
      <c r="E1067" s="79"/>
      <c r="F1067" s="79" t="s">
        <v>2192</v>
      </c>
      <c r="G1067" s="84"/>
      <c r="H1067" s="87" t="s">
        <v>2193</v>
      </c>
      <c r="I1067" s="87"/>
      <c r="J1067" s="87"/>
      <c r="K1067" s="87"/>
      <c r="L1067" s="87"/>
      <c r="M1067" s="87"/>
      <c r="N1067" s="87"/>
      <c r="O1067" s="87"/>
      <c r="P1067" s="87"/>
      <c r="Q1067" s="87"/>
      <c r="R1067" s="87"/>
      <c r="S1067" s="87"/>
      <c r="T1067" s="87"/>
      <c r="U1067" s="109">
        <v>-0.3417</v>
      </c>
      <c r="V1067" s="109">
        <v>-0.3417</v>
      </c>
      <c r="W1067" s="109">
        <v>-0.3417</v>
      </c>
      <c r="X1067" s="313">
        <f t="shared" si="141"/>
        <v>-0.3417</v>
      </c>
      <c r="Y1067" s="313">
        <f t="shared" si="141"/>
        <v>-0.3417</v>
      </c>
      <c r="Z1067" s="313">
        <f t="shared" si="141"/>
        <v>-0.3417</v>
      </c>
      <c r="AA1067" s="313">
        <f t="shared" si="141"/>
        <v>-0.3417</v>
      </c>
      <c r="AB1067" s="313">
        <f t="shared" si="141"/>
        <v>-0.3417</v>
      </c>
      <c r="AC1067" s="87"/>
      <c r="AD1067" s="87"/>
      <c r="AE1067" s="87"/>
      <c r="AF1067" s="109">
        <v>1</v>
      </c>
      <c r="AG1067" s="109">
        <v>1</v>
      </c>
      <c r="AH1067" s="84"/>
      <c r="AI1067" s="66"/>
      <c r="AJ1067" s="54"/>
      <c r="AK1067" s="54"/>
      <c r="AL1067" s="54"/>
    </row>
    <row r="1068" spans="1:38" outlineLevel="2" x14ac:dyDescent="0.25">
      <c r="A1068" s="54"/>
      <c r="B1068" s="63"/>
      <c r="C1068" s="56">
        <f t="shared" si="140"/>
        <v>3</v>
      </c>
      <c r="D1068" s="84"/>
      <c r="E1068" s="79"/>
      <c r="F1068" s="79" t="s">
        <v>2194</v>
      </c>
      <c r="G1068" s="84"/>
      <c r="H1068" s="87" t="s">
        <v>2195</v>
      </c>
      <c r="I1068" s="87"/>
      <c r="J1068" s="87"/>
      <c r="K1068" s="87"/>
      <c r="L1068" s="87"/>
      <c r="M1068" s="87"/>
      <c r="N1068" s="87"/>
      <c r="O1068" s="87"/>
      <c r="P1068" s="87"/>
      <c r="Q1068" s="87"/>
      <c r="R1068" s="87"/>
      <c r="S1068" s="87"/>
      <c r="T1068" s="87"/>
      <c r="U1068" s="109">
        <v>-1.017E-2</v>
      </c>
      <c r="V1068" s="109">
        <v>-1.017E-2</v>
      </c>
      <c r="W1068" s="109">
        <v>-1.017E-2</v>
      </c>
      <c r="X1068" s="313">
        <f t="shared" si="141"/>
        <v>-1.017E-2</v>
      </c>
      <c r="Y1068" s="313">
        <f t="shared" si="141"/>
        <v>-1.017E-2</v>
      </c>
      <c r="Z1068" s="313">
        <f t="shared" si="141"/>
        <v>-1.017E-2</v>
      </c>
      <c r="AA1068" s="313">
        <f t="shared" si="141"/>
        <v>-1.017E-2</v>
      </c>
      <c r="AB1068" s="313">
        <f t="shared" si="141"/>
        <v>-1.017E-2</v>
      </c>
      <c r="AC1068" s="87"/>
      <c r="AD1068" s="87"/>
      <c r="AE1068" s="87"/>
      <c r="AF1068" s="109">
        <v>1</v>
      </c>
      <c r="AG1068" s="109">
        <v>1</v>
      </c>
      <c r="AH1068" s="84"/>
      <c r="AI1068" s="66"/>
      <c r="AJ1068" s="54"/>
      <c r="AK1068" s="54"/>
      <c r="AL1068" s="54"/>
    </row>
    <row r="1069" spans="1:38" outlineLevel="2" x14ac:dyDescent="0.25">
      <c r="A1069" s="54"/>
      <c r="B1069" s="63"/>
      <c r="C1069" s="56">
        <f t="shared" si="140"/>
        <v>3</v>
      </c>
      <c r="D1069" s="84"/>
      <c r="E1069" s="79"/>
      <c r="F1069" s="79" t="s">
        <v>2196</v>
      </c>
      <c r="G1069" s="84"/>
      <c r="H1069" s="87" t="s">
        <v>2197</v>
      </c>
      <c r="I1069" s="87"/>
      <c r="J1069" s="87"/>
      <c r="K1069" s="87"/>
      <c r="L1069" s="87"/>
      <c r="M1069" s="87"/>
      <c r="N1069" s="87"/>
      <c r="O1069" s="87"/>
      <c r="P1069" s="87"/>
      <c r="Q1069" s="87"/>
      <c r="R1069" s="87"/>
      <c r="S1069" s="87"/>
      <c r="T1069" s="87"/>
      <c r="U1069" s="109">
        <v>1.5920000000000001E-3</v>
      </c>
      <c r="V1069" s="109">
        <v>1.5920000000000001E-3</v>
      </c>
      <c r="W1069" s="109">
        <v>1.5920000000000001E-3</v>
      </c>
      <c r="X1069" s="313">
        <f t="shared" si="141"/>
        <v>1.5920000000000001E-3</v>
      </c>
      <c r="Y1069" s="313">
        <f t="shared" si="141"/>
        <v>1.5920000000000001E-3</v>
      </c>
      <c r="Z1069" s="313">
        <f t="shared" si="141"/>
        <v>1.5920000000000001E-3</v>
      </c>
      <c r="AA1069" s="313">
        <f t="shared" si="141"/>
        <v>1.5920000000000001E-3</v>
      </c>
      <c r="AB1069" s="313">
        <f t="shared" si="141"/>
        <v>1.5920000000000001E-3</v>
      </c>
      <c r="AC1069" s="87"/>
      <c r="AD1069" s="87"/>
      <c r="AE1069" s="87"/>
      <c r="AF1069" s="109">
        <v>1</v>
      </c>
      <c r="AG1069" s="109">
        <v>1</v>
      </c>
      <c r="AH1069" s="84"/>
      <c r="AI1069" s="66"/>
      <c r="AJ1069" s="54"/>
      <c r="AK1069" s="54"/>
      <c r="AL1069" s="54"/>
    </row>
    <row r="1070" spans="1:38" outlineLevel="2" x14ac:dyDescent="0.25">
      <c r="A1070" s="54"/>
      <c r="B1070" s="63"/>
      <c r="C1070" s="56">
        <f t="shared" si="140"/>
        <v>3</v>
      </c>
      <c r="D1070" s="84"/>
      <c r="E1070" s="79"/>
      <c r="F1070" s="79" t="s">
        <v>2198</v>
      </c>
      <c r="G1070" s="84"/>
      <c r="H1070" s="87" t="s">
        <v>2199</v>
      </c>
      <c r="I1070" s="87"/>
      <c r="J1070" s="87"/>
      <c r="K1070" s="87"/>
      <c r="L1070" s="87"/>
      <c r="M1070" s="87"/>
      <c r="N1070" s="87"/>
      <c r="O1070" s="87"/>
      <c r="P1070" s="87"/>
      <c r="Q1070" s="87"/>
      <c r="R1070" s="87"/>
      <c r="S1070" s="87"/>
      <c r="T1070" s="87"/>
      <c r="U1070" s="109">
        <v>-3.7E-7</v>
      </c>
      <c r="V1070" s="109">
        <v>-3.7E-7</v>
      </c>
      <c r="W1070" s="109">
        <v>-3.7E-7</v>
      </c>
      <c r="X1070" s="313">
        <f t="shared" si="141"/>
        <v>-3.7E-7</v>
      </c>
      <c r="Y1070" s="313">
        <f t="shared" si="141"/>
        <v>-3.7E-7</v>
      </c>
      <c r="Z1070" s="313">
        <f t="shared" si="141"/>
        <v>-3.7E-7</v>
      </c>
      <c r="AA1070" s="313">
        <f t="shared" si="141"/>
        <v>-3.7E-7</v>
      </c>
      <c r="AB1070" s="313">
        <f t="shared" si="141"/>
        <v>-3.7E-7</v>
      </c>
      <c r="AC1070" s="87"/>
      <c r="AD1070" s="87"/>
      <c r="AE1070" s="87"/>
      <c r="AF1070" s="109">
        <v>1</v>
      </c>
      <c r="AG1070" s="109">
        <v>1</v>
      </c>
      <c r="AH1070" s="84"/>
      <c r="AI1070" s="66"/>
      <c r="AJ1070" s="54"/>
      <c r="AK1070" s="54"/>
      <c r="AL1070" s="54"/>
    </row>
    <row r="1071" spans="1:38" outlineLevel="2" collapsed="1" x14ac:dyDescent="0.25">
      <c r="A1071" s="54"/>
      <c r="B1071" s="63"/>
      <c r="C1071" s="56">
        <f t="shared" si="140"/>
        <v>3</v>
      </c>
      <c r="D1071" s="84"/>
      <c r="E1071" s="79"/>
      <c r="F1071" s="79" t="s">
        <v>2200</v>
      </c>
      <c r="G1071" s="84"/>
      <c r="H1071" s="87" t="s">
        <v>2201</v>
      </c>
      <c r="I1071" s="87"/>
      <c r="J1071" s="87"/>
      <c r="K1071" s="87"/>
      <c r="L1071" s="87"/>
      <c r="M1071" s="87"/>
      <c r="N1071" s="87"/>
      <c r="O1071" s="87"/>
      <c r="P1071" s="87"/>
      <c r="Q1071" s="87"/>
      <c r="R1071" s="87"/>
      <c r="S1071" s="87"/>
      <c r="T1071" s="87"/>
      <c r="U1071" s="109">
        <v>1.2949999999999999</v>
      </c>
      <c r="V1071" s="109">
        <v>1.2949999999999999</v>
      </c>
      <c r="W1071" s="109">
        <v>1.2949999999999999</v>
      </c>
      <c r="X1071" s="313">
        <f t="shared" si="141"/>
        <v>1.2949999999999999</v>
      </c>
      <c r="Y1071" s="313">
        <f t="shared" si="141"/>
        <v>1.2949999999999999</v>
      </c>
      <c r="Z1071" s="313">
        <f t="shared" si="141"/>
        <v>1.2949999999999999</v>
      </c>
      <c r="AA1071" s="313">
        <f t="shared" si="141"/>
        <v>1.2949999999999999</v>
      </c>
      <c r="AB1071" s="313">
        <f t="shared" si="141"/>
        <v>1.2949999999999999</v>
      </c>
      <c r="AC1071" s="87"/>
      <c r="AD1071" s="87"/>
      <c r="AE1071" s="87"/>
      <c r="AF1071" s="109">
        <v>1</v>
      </c>
      <c r="AG1071" s="109">
        <v>1</v>
      </c>
      <c r="AH1071" s="84"/>
      <c r="AI1071" s="66"/>
      <c r="AJ1071" s="54"/>
      <c r="AK1071" s="54"/>
      <c r="AL1071" s="54"/>
    </row>
    <row r="1072" spans="1:38" hidden="1" outlineLevel="3" x14ac:dyDescent="0.25">
      <c r="A1072" s="54"/>
      <c r="B1072" s="63"/>
      <c r="C1072" s="56">
        <f t="shared" si="139"/>
        <v>4</v>
      </c>
      <c r="D1072" s="84"/>
      <c r="E1072" s="79"/>
      <c r="F1072" s="79" t="s">
        <v>2202</v>
      </c>
      <c r="G1072" s="84"/>
      <c r="H1072" s="87" t="s">
        <v>727</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9"/>
        <v>4</v>
      </c>
      <c r="D1073" s="84"/>
      <c r="E1073" s="79"/>
      <c r="F1073" s="79" t="s">
        <v>2203</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9"/>
        <v>4</v>
      </c>
      <c r="D1074" s="84"/>
      <c r="E1074" s="79"/>
      <c r="F1074" s="79" t="s">
        <v>2204</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9"/>
        <v>4</v>
      </c>
      <c r="D1075" s="84"/>
      <c r="E1075" s="79"/>
      <c r="F1075" s="79" t="s">
        <v>2205</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9"/>
        <v>4</v>
      </c>
      <c r="D1076" s="84"/>
      <c r="E1076" s="79"/>
      <c r="F1076" s="79" t="s">
        <v>2206</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9"/>
        <v>4</v>
      </c>
      <c r="D1077" s="84"/>
      <c r="E1077" s="79"/>
      <c r="F1077" s="79" t="s">
        <v>2207</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2208</v>
      </c>
      <c r="G1078" s="84"/>
      <c r="H1078" s="87" t="s">
        <v>727</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2209</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2210</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2211</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2212</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2213</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2214</v>
      </c>
      <c r="G1084" s="84"/>
      <c r="H1084" s="87" t="s">
        <v>727</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2215</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2216</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2217</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2218</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2219</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2220</v>
      </c>
      <c r="G1090" s="84"/>
      <c r="H1090" s="87" t="s">
        <v>727</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2221</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2222</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2223</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2224</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2225</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2226</v>
      </c>
      <c r="G1096" s="84"/>
      <c r="H1096" s="87" t="s">
        <v>727</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2227</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2228</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2229</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2230</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2231</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2232</v>
      </c>
      <c r="G1102" s="84"/>
      <c r="H1102" s="87" t="s">
        <v>727</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2233</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2234</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2235</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2236</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2">INT($C$40)+3</f>
        <v>4</v>
      </c>
      <c r="D1107" s="84"/>
      <c r="E1107" s="79"/>
      <c r="F1107" s="79" t="s">
        <v>2237</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2"/>
        <v>4</v>
      </c>
      <c r="D1108" s="84"/>
      <c r="E1108" s="79"/>
      <c r="F1108" s="79" t="s">
        <v>2238</v>
      </c>
      <c r="G1108" s="84"/>
      <c r="H1108" s="87" t="s">
        <v>727</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2"/>
        <v>4</v>
      </c>
      <c r="D1109" s="84"/>
      <c r="E1109" s="79"/>
      <c r="F1109" s="79" t="s">
        <v>2239</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2"/>
        <v>4</v>
      </c>
      <c r="D1110" s="84"/>
      <c r="E1110" s="79"/>
      <c r="F1110" s="79" t="s">
        <v>2240</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2"/>
        <v>4</v>
      </c>
      <c r="D1111" s="84"/>
      <c r="E1111" s="79"/>
      <c r="F1111" s="79" t="s">
        <v>2241</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2"/>
        <v>4</v>
      </c>
      <c r="D1112" s="84"/>
      <c r="E1112" s="79"/>
      <c r="F1112" s="79" t="s">
        <v>2242</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2243</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2244</v>
      </c>
      <c r="G1114" s="84"/>
      <c r="H1114" s="87" t="s">
        <v>727</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2245</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2246</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2247</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2248</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2249</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2250</v>
      </c>
      <c r="G1120" s="84"/>
      <c r="H1120" s="87" t="s">
        <v>727</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2251</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2252</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2253</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2254</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2255</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2256</v>
      </c>
      <c r="G1126" s="84"/>
      <c r="H1126" s="87" t="s">
        <v>727</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2257</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2258</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2259</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2260</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2261</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2262</v>
      </c>
      <c r="G1132" s="84"/>
      <c r="H1132" s="87" t="s">
        <v>727</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2263</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2264</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2265</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2266</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2267</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25">
      <c r="A1138" s="54"/>
      <c r="B1138" s="63"/>
      <c r="C1138" s="56">
        <f t="shared" ref="C1138:C1143" si="143">INT($C$40)+2</f>
        <v>3</v>
      </c>
      <c r="D1138" s="84"/>
      <c r="E1138" s="79"/>
      <c r="F1138" s="79" t="s">
        <v>2268</v>
      </c>
      <c r="G1138" s="84"/>
      <c r="H1138" s="87" t="s">
        <v>2269</v>
      </c>
      <c r="I1138" s="87"/>
      <c r="J1138" s="87"/>
      <c r="K1138" s="87"/>
      <c r="L1138" s="87"/>
      <c r="M1138" s="87"/>
      <c r="N1138" s="87"/>
      <c r="O1138" s="87"/>
      <c r="P1138" s="87"/>
      <c r="Q1138" s="87"/>
      <c r="R1138" s="87"/>
      <c r="S1138" s="87"/>
      <c r="T1138" s="87"/>
      <c r="U1138" s="109">
        <v>0.57699999999999996</v>
      </c>
      <c r="V1138" s="109">
        <v>0.57699999999999996</v>
      </c>
      <c r="W1138" s="109">
        <v>0.57699999999999996</v>
      </c>
      <c r="X1138" s="313">
        <f t="shared" ref="X1138:AB1139" si="144">W1138</f>
        <v>0.57699999999999996</v>
      </c>
      <c r="Y1138" s="313">
        <f t="shared" si="144"/>
        <v>0.57699999999999996</v>
      </c>
      <c r="Z1138" s="313">
        <f t="shared" si="144"/>
        <v>0.57699999999999996</v>
      </c>
      <c r="AA1138" s="313">
        <f t="shared" si="144"/>
        <v>0.57699999999999996</v>
      </c>
      <c r="AB1138" s="313">
        <f t="shared" si="144"/>
        <v>0.57699999999999996</v>
      </c>
      <c r="AC1138" s="87"/>
      <c r="AD1138" s="109" t="s">
        <v>2270</v>
      </c>
      <c r="AE1138" s="87"/>
      <c r="AF1138" s="109">
        <v>1</v>
      </c>
      <c r="AG1138" s="109">
        <v>1</v>
      </c>
      <c r="AH1138" s="84"/>
      <c r="AI1138" s="66"/>
      <c r="AJ1138" s="54"/>
      <c r="AK1138" s="54"/>
      <c r="AL1138" s="54"/>
    </row>
    <row r="1139" spans="1:38" outlineLevel="2" collapsed="1" x14ac:dyDescent="0.25">
      <c r="A1139" s="54"/>
      <c r="B1139" s="63"/>
      <c r="C1139" s="56">
        <f t="shared" si="143"/>
        <v>3</v>
      </c>
      <c r="D1139" s="84"/>
      <c r="E1139" s="79"/>
      <c r="F1139" s="79" t="s">
        <v>2271</v>
      </c>
      <c r="G1139" s="84"/>
      <c r="H1139" s="87" t="s">
        <v>2272</v>
      </c>
      <c r="I1139" s="87"/>
      <c r="J1139" s="87"/>
      <c r="K1139" s="87"/>
      <c r="L1139" s="87"/>
      <c r="M1139" s="87"/>
      <c r="N1139" s="87"/>
      <c r="O1139" s="87"/>
      <c r="P1139" s="87"/>
      <c r="Q1139" s="87"/>
      <c r="R1139" s="87"/>
      <c r="S1139" s="87"/>
      <c r="T1139" s="87"/>
      <c r="U1139" s="109">
        <v>-1.2E-2</v>
      </c>
      <c r="V1139" s="109">
        <v>-1.2E-2</v>
      </c>
      <c r="W1139" s="109">
        <v>-1.2E-2</v>
      </c>
      <c r="X1139" s="313">
        <f t="shared" si="144"/>
        <v>-1.2E-2</v>
      </c>
      <c r="Y1139" s="313">
        <f t="shared" si="144"/>
        <v>-1.2E-2</v>
      </c>
      <c r="Z1139" s="313">
        <f t="shared" si="144"/>
        <v>-1.2E-2</v>
      </c>
      <c r="AA1139" s="313">
        <f t="shared" si="144"/>
        <v>-1.2E-2</v>
      </c>
      <c r="AB1139" s="313">
        <f t="shared" si="144"/>
        <v>-1.2E-2</v>
      </c>
      <c r="AC1139" s="87"/>
      <c r="AD1139" s="87"/>
      <c r="AE1139" s="87"/>
      <c r="AF1139" s="109">
        <v>1</v>
      </c>
      <c r="AG1139" s="109">
        <v>1</v>
      </c>
      <c r="AH1139" s="84"/>
      <c r="AI1139" s="66"/>
      <c r="AJ1139" s="54"/>
      <c r="AK1139" s="54"/>
      <c r="AL1139" s="54"/>
    </row>
    <row r="1140" spans="1:38" hidden="1" outlineLevel="3" x14ac:dyDescent="0.25">
      <c r="A1140" s="54"/>
      <c r="B1140" s="63"/>
      <c r="C1140" s="56">
        <f t="shared" si="143"/>
        <v>3</v>
      </c>
      <c r="D1140" s="84"/>
      <c r="E1140" s="79"/>
      <c r="F1140" s="79" t="s">
        <v>2273</v>
      </c>
      <c r="G1140" s="84"/>
      <c r="H1140" s="87" t="s">
        <v>2274</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3"/>
        <v>3</v>
      </c>
      <c r="D1141" s="84"/>
      <c r="E1141" s="79"/>
      <c r="F1141" s="79" t="s">
        <v>2275</v>
      </c>
      <c r="G1141" s="84"/>
      <c r="H1141" s="87" t="s">
        <v>2276</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3"/>
        <v>3</v>
      </c>
      <c r="D1142" s="84"/>
      <c r="E1142" s="79"/>
      <c r="F1142" s="79" t="s">
        <v>2277</v>
      </c>
      <c r="G1142" s="84"/>
      <c r="H1142" s="87" t="s">
        <v>2278</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collapsed="1" x14ac:dyDescent="0.25">
      <c r="A1143" s="54"/>
      <c r="B1143" s="63"/>
      <c r="C1143" s="56">
        <f t="shared" si="143"/>
        <v>3</v>
      </c>
      <c r="D1143" s="84"/>
      <c r="E1143" s="79"/>
      <c r="F1143" s="79" t="s">
        <v>2279</v>
      </c>
      <c r="G1143" s="84"/>
      <c r="H1143" s="87" t="s">
        <v>2280</v>
      </c>
      <c r="I1143" s="87"/>
      <c r="J1143" s="87"/>
      <c r="K1143" s="87"/>
      <c r="L1143" s="87"/>
      <c r="M1143" s="87"/>
      <c r="N1143" s="87"/>
      <c r="O1143" s="87"/>
      <c r="P1143" s="87"/>
      <c r="Q1143" s="87"/>
      <c r="R1143" s="87"/>
      <c r="S1143" s="87"/>
      <c r="T1143" s="87"/>
      <c r="U1143" s="109">
        <v>-4.07</v>
      </c>
      <c r="V1143" s="109">
        <v>-4.07</v>
      </c>
      <c r="W1143" s="109">
        <v>-4.07</v>
      </c>
      <c r="X1143" s="313">
        <f>W1143</f>
        <v>-4.07</v>
      </c>
      <c r="Y1143" s="313">
        <f>X1143</f>
        <v>-4.07</v>
      </c>
      <c r="Z1143" s="313">
        <f>Y1143</f>
        <v>-4.07</v>
      </c>
      <c r="AA1143" s="313">
        <f>Z1143</f>
        <v>-4.07</v>
      </c>
      <c r="AB1143" s="313">
        <f>AA1143</f>
        <v>-4.07</v>
      </c>
      <c r="AC1143" s="87"/>
      <c r="AD1143" s="87"/>
      <c r="AE1143" s="87"/>
      <c r="AF1143" s="109">
        <v>1</v>
      </c>
      <c r="AG1143" s="109">
        <v>1</v>
      </c>
      <c r="AH1143" s="84"/>
      <c r="AI1143" s="66"/>
      <c r="AJ1143" s="54"/>
      <c r="AK1143" s="54"/>
      <c r="AL1143" s="54"/>
    </row>
    <row r="1144" spans="1:38" hidden="1" outlineLevel="3" x14ac:dyDescent="0.25">
      <c r="A1144" s="54"/>
      <c r="B1144" s="63"/>
      <c r="C1144" s="56">
        <f t="shared" si="142"/>
        <v>4</v>
      </c>
      <c r="D1144" s="84"/>
      <c r="E1144" s="79"/>
      <c r="F1144" s="79" t="s">
        <v>2281</v>
      </c>
      <c r="G1144" s="84"/>
      <c r="H1144" s="87" t="s">
        <v>727</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2"/>
        <v>4</v>
      </c>
      <c r="D1145" s="84"/>
      <c r="E1145" s="79"/>
      <c r="F1145" s="79" t="s">
        <v>2282</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2"/>
        <v>4</v>
      </c>
      <c r="D1146" s="84"/>
      <c r="E1146" s="79"/>
      <c r="F1146" s="79" t="s">
        <v>2283</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2"/>
        <v>4</v>
      </c>
      <c r="D1147" s="84"/>
      <c r="E1147" s="79"/>
      <c r="F1147" s="79" t="s">
        <v>2284</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2"/>
        <v>4</v>
      </c>
      <c r="D1148" s="84"/>
      <c r="E1148" s="79"/>
      <c r="F1148" s="79" t="s">
        <v>2285</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2"/>
        <v>4</v>
      </c>
      <c r="D1149" s="84"/>
      <c r="E1149" s="79"/>
      <c r="F1149" s="79" t="s">
        <v>2286</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25">
      <c r="A1150" s="54"/>
      <c r="B1150" s="63"/>
      <c r="C1150" s="56">
        <f>INT($C$40)+2</f>
        <v>3</v>
      </c>
      <c r="D1150" s="84"/>
      <c r="E1150" s="79"/>
      <c r="F1150" s="79" t="s">
        <v>2287</v>
      </c>
      <c r="G1150" s="84"/>
      <c r="H1150" s="87" t="s">
        <v>2288</v>
      </c>
      <c r="I1150" s="87"/>
      <c r="J1150" s="87"/>
      <c r="K1150" s="87"/>
      <c r="L1150" s="87"/>
      <c r="M1150" s="87"/>
      <c r="N1150" s="87"/>
      <c r="O1150" s="87"/>
      <c r="P1150" s="87"/>
      <c r="Q1150" s="87"/>
      <c r="R1150" s="87"/>
      <c r="S1150" s="87"/>
      <c r="T1150" s="87"/>
      <c r="U1150" s="109">
        <v>-8.4959000000000007</v>
      </c>
      <c r="V1150" s="323">
        <f t="shared" ref="V1150:AB1151" si="145">U1150</f>
        <v>-8.4959000000000007</v>
      </c>
      <c r="W1150" s="323">
        <f t="shared" si="145"/>
        <v>-8.4959000000000007</v>
      </c>
      <c r="X1150" s="323">
        <f t="shared" si="145"/>
        <v>-8.4959000000000007</v>
      </c>
      <c r="Y1150" s="323">
        <f t="shared" si="145"/>
        <v>-8.4959000000000007</v>
      </c>
      <c r="Z1150" s="323">
        <f t="shared" si="145"/>
        <v>-8.4959000000000007</v>
      </c>
      <c r="AA1150" s="323">
        <f t="shared" si="145"/>
        <v>-8.4959000000000007</v>
      </c>
      <c r="AB1150" s="323">
        <f t="shared" si="145"/>
        <v>-8.4959000000000007</v>
      </c>
      <c r="AC1150" s="87"/>
      <c r="AD1150" s="109"/>
      <c r="AE1150" s="87"/>
      <c r="AF1150" s="109">
        <v>1</v>
      </c>
      <c r="AG1150" s="109">
        <v>1</v>
      </c>
      <c r="AH1150" s="84"/>
      <c r="AI1150" s="66"/>
      <c r="AJ1150" s="54"/>
      <c r="AK1150" s="54"/>
      <c r="AL1150" s="54"/>
    </row>
    <row r="1151" spans="1:38" outlineLevel="2" collapsed="1" x14ac:dyDescent="0.25">
      <c r="A1151" s="54"/>
      <c r="B1151" s="63"/>
      <c r="C1151" s="56">
        <f>INT($C$40)+2</f>
        <v>3</v>
      </c>
      <c r="D1151" s="84"/>
      <c r="E1151" s="79"/>
      <c r="F1151" s="79" t="s">
        <v>2289</v>
      </c>
      <c r="G1151" s="84"/>
      <c r="H1151" s="87" t="s">
        <v>2290</v>
      </c>
      <c r="I1151" s="87"/>
      <c r="J1151" s="87"/>
      <c r="K1151" s="87"/>
      <c r="L1151" s="87"/>
      <c r="M1151" s="87"/>
      <c r="N1151" s="87"/>
      <c r="O1151" s="87"/>
      <c r="P1151" s="87"/>
      <c r="Q1151" s="87"/>
      <c r="R1151" s="87"/>
      <c r="S1151" s="87"/>
      <c r="T1151" s="87"/>
      <c r="U1151" s="109">
        <v>1.38185</v>
      </c>
      <c r="V1151" s="323">
        <f t="shared" si="145"/>
        <v>1.38185</v>
      </c>
      <c r="W1151" s="323">
        <f t="shared" si="145"/>
        <v>1.38185</v>
      </c>
      <c r="X1151" s="323">
        <f t="shared" si="145"/>
        <v>1.38185</v>
      </c>
      <c r="Y1151" s="323">
        <f t="shared" si="145"/>
        <v>1.38185</v>
      </c>
      <c r="Z1151" s="323">
        <f t="shared" si="145"/>
        <v>1.38185</v>
      </c>
      <c r="AA1151" s="323">
        <f t="shared" si="145"/>
        <v>1.38185</v>
      </c>
      <c r="AB1151" s="323">
        <f t="shared" si="145"/>
        <v>1.38185</v>
      </c>
      <c r="AC1151" s="87"/>
      <c r="AD1151" s="87"/>
      <c r="AE1151" s="87"/>
      <c r="AF1151" s="109">
        <v>1</v>
      </c>
      <c r="AG1151" s="109">
        <v>1</v>
      </c>
      <c r="AH1151" s="84"/>
      <c r="AI1151" s="66"/>
      <c r="AJ1151" s="54"/>
      <c r="AK1151" s="54"/>
      <c r="AL1151" s="54"/>
    </row>
    <row r="1152" spans="1:38" hidden="1" outlineLevel="3" x14ac:dyDescent="0.25">
      <c r="A1152" s="54"/>
      <c r="B1152" s="63"/>
      <c r="C1152" s="56">
        <f>INT($C$40)+3</f>
        <v>4</v>
      </c>
      <c r="D1152" s="84"/>
      <c r="E1152" s="79"/>
      <c r="F1152" s="79" t="s">
        <v>2291</v>
      </c>
      <c r="G1152" s="84"/>
      <c r="H1152" s="87" t="s">
        <v>2292</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2293</v>
      </c>
      <c r="G1153" s="84"/>
      <c r="H1153" s="87" t="s">
        <v>2294</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2295</v>
      </c>
      <c r="G1154" s="84"/>
      <c r="H1154" s="87" t="s">
        <v>2296</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25">
      <c r="A1155" s="54"/>
      <c r="B1155" s="63"/>
      <c r="C1155" s="56">
        <f>INT($C$40)+2</f>
        <v>3</v>
      </c>
      <c r="D1155" s="84"/>
      <c r="E1155" s="79"/>
      <c r="F1155" s="79" t="s">
        <v>2297</v>
      </c>
      <c r="G1155" s="84"/>
      <c r="H1155" s="87" t="s">
        <v>2298</v>
      </c>
      <c r="I1155" s="87"/>
      <c r="J1155" s="87"/>
      <c r="K1155" s="87"/>
      <c r="L1155" s="87"/>
      <c r="M1155" s="87"/>
      <c r="N1155" s="87"/>
      <c r="O1155" s="87"/>
      <c r="P1155" s="87"/>
      <c r="Q1155" s="87"/>
      <c r="R1155" s="87"/>
      <c r="S1155" s="87"/>
      <c r="T1155" s="87"/>
      <c r="U1155" s="109">
        <v>7.50061</v>
      </c>
      <c r="V1155" s="323">
        <f>U1155</f>
        <v>7.50061</v>
      </c>
      <c r="W1155" s="323">
        <f t="shared" ref="W1155:AB1155" si="146">V1155</f>
        <v>7.50061</v>
      </c>
      <c r="X1155" s="323">
        <f t="shared" si="146"/>
        <v>7.50061</v>
      </c>
      <c r="Y1155" s="323">
        <f t="shared" si="146"/>
        <v>7.50061</v>
      </c>
      <c r="Z1155" s="323">
        <f t="shared" si="146"/>
        <v>7.50061</v>
      </c>
      <c r="AA1155" s="323">
        <f t="shared" si="146"/>
        <v>7.50061</v>
      </c>
      <c r="AB1155" s="323">
        <f t="shared" si="146"/>
        <v>7.50061</v>
      </c>
      <c r="AC1155" s="87"/>
      <c r="AD1155" s="87"/>
      <c r="AE1155" s="87"/>
      <c r="AF1155" s="109">
        <v>1</v>
      </c>
      <c r="AG1155" s="109">
        <v>1</v>
      </c>
      <c r="AH1155" s="84"/>
      <c r="AI1155" s="66"/>
      <c r="AJ1155" s="54"/>
      <c r="AK1155" s="54"/>
      <c r="AL1155" s="54"/>
    </row>
    <row r="1156" spans="1:38"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0999999999999996" customHeight="1" outlineLevel="2" x14ac:dyDescent="0.2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0999999999999996"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3"/>
      <c r="C1167" s="94">
        <f>INT($C$40)+1.005</f>
        <v>2.0049999999999999</v>
      </c>
      <c r="D1167" s="95"/>
      <c r="E1167" s="95"/>
      <c r="F1167" s="95"/>
      <c r="G1167" s="95"/>
      <c r="H1167" s="95"/>
      <c r="I1167" s="95"/>
      <c r="J1167" s="95"/>
      <c r="K1167" s="95"/>
      <c r="L1167" s="95"/>
      <c r="M1167" s="95"/>
      <c r="N1167" s="95"/>
      <c r="O1167" s="95"/>
      <c r="P1167" s="95"/>
      <c r="Q1167" s="95"/>
      <c r="R1167" s="95"/>
      <c r="S1167" s="95"/>
      <c r="T1167" s="95"/>
      <c r="U1167" s="95"/>
      <c r="V1167" s="95"/>
      <c r="W1167" s="95"/>
      <c r="X1167" s="95"/>
      <c r="Y1167" s="95"/>
      <c r="Z1167" s="95"/>
      <c r="AA1167" s="95"/>
      <c r="AB1167" s="95"/>
      <c r="AC1167" s="95"/>
      <c r="AD1167" s="95"/>
      <c r="AE1167" s="95"/>
      <c r="AF1167" s="95"/>
      <c r="AG1167" s="95"/>
      <c r="AH1167" s="95"/>
      <c r="AI1167" s="96" t="s">
        <v>213</v>
      </c>
      <c r="AJ1167" s="54"/>
      <c r="AK1167" s="54"/>
      <c r="AL1167" s="54"/>
    </row>
    <row r="1168" spans="1:38" ht="5.0999999999999996" customHeight="1" x14ac:dyDescent="0.25">
      <c r="A1168" s="54"/>
      <c r="B1168" s="97"/>
      <c r="C1168" s="98">
        <f>INT($C$40)+0.005</f>
        <v>1.0049999999999999</v>
      </c>
      <c r="D1168" s="97"/>
      <c r="E1168" s="97"/>
      <c r="F1168" s="97"/>
      <c r="G1168" s="97"/>
      <c r="H1168" s="97"/>
      <c r="I1168" s="97"/>
      <c r="J1168" s="97"/>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c r="AJ1168" s="54"/>
      <c r="AK1168" s="54"/>
      <c r="AL1168" s="54"/>
    </row>
    <row r="1169" spans="1:38"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9" t="s">
        <v>524</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1">
        <v>2</v>
      </c>
      <c r="J18" s="370" t="s">
        <v>2299</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1">
        <v>1</v>
      </c>
      <c r="J21" s="367" t="s">
        <v>2300</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0999999999999996" customHeight="1" collapsed="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9">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297" t="s">
        <v>2301</v>
      </c>
      <c r="L44" s="297"/>
      <c r="M44" s="297"/>
      <c r="N44" s="297"/>
      <c r="O44" s="297"/>
      <c r="P44" s="297"/>
      <c r="Q44" s="297"/>
      <c r="R44" s="81"/>
      <c r="S44" s="81"/>
      <c r="T44" s="81"/>
      <c r="U44" s="81"/>
      <c r="V44" s="81"/>
      <c r="W44" s="81"/>
      <c r="X44" s="81"/>
      <c r="Y44" s="81"/>
      <c r="Z44" s="64"/>
      <c r="AA44" s="66"/>
      <c r="AB44" s="54"/>
      <c r="AC44" s="54"/>
      <c r="AD44" s="54"/>
    </row>
    <row r="45" spans="1:30" ht="30" outlineLevel="2" x14ac:dyDescent="0.25">
      <c r="A45" s="54"/>
      <c r="B45" s="63"/>
      <c r="C45" s="99">
        <f>INT($C$40)+2</f>
        <v>3</v>
      </c>
      <c r="D45" s="64"/>
      <c r="E45" s="79"/>
      <c r="F45" s="79"/>
      <c r="G45" s="64"/>
      <c r="H45" s="81"/>
      <c r="I45" s="81"/>
      <c r="J45" s="81"/>
      <c r="K45" s="81" t="s">
        <v>2302</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c r="I46" s="81" t="s">
        <v>541</v>
      </c>
      <c r="J46" s="81"/>
      <c r="K46" s="81"/>
      <c r="L46" s="81"/>
      <c r="M46" s="81"/>
      <c r="N46" s="81"/>
      <c r="O46" s="81"/>
      <c r="P46" s="81"/>
      <c r="Q46" s="81"/>
      <c r="R46" s="81" t="s">
        <v>2303</v>
      </c>
      <c r="S46" s="81"/>
      <c r="T46" s="81"/>
      <c r="U46" s="81"/>
      <c r="V46" s="81"/>
      <c r="W46" s="81"/>
      <c r="X46" s="81"/>
      <c r="Y46" s="81"/>
      <c r="Z46" s="64"/>
      <c r="AA46" s="66"/>
      <c r="AB46" s="54"/>
      <c r="AC46" s="54"/>
      <c r="AD46" s="54"/>
    </row>
    <row r="47" spans="1:30" ht="11.45" customHeight="1" outlineLevel="2" collapsed="1" x14ac:dyDescent="0.2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9">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9">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9">
        <f>INT($C$40)+2</f>
        <v>3</v>
      </c>
      <c r="D51" s="84"/>
      <c r="E51" s="79"/>
      <c r="F51" s="79"/>
      <c r="G51" s="84"/>
      <c r="H51" s="304" t="s">
        <v>2304</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t="s">
        <v>2305</v>
      </c>
      <c r="I52" s="87" t="s">
        <v>2306</v>
      </c>
      <c r="J52" s="87"/>
      <c r="K52" s="109">
        <f>30/1000</f>
        <v>0.03</v>
      </c>
      <c r="L52" s="87"/>
      <c r="M52" s="87"/>
      <c r="N52" s="87"/>
      <c r="O52" s="87"/>
      <c r="P52" s="87"/>
      <c r="Q52" s="87"/>
      <c r="R52" s="109" t="s">
        <v>734</v>
      </c>
      <c r="S52" s="87"/>
      <c r="T52" s="87"/>
      <c r="U52" s="87"/>
      <c r="V52" s="87"/>
      <c r="W52" s="87"/>
      <c r="X52" s="87"/>
      <c r="Y52" s="87"/>
      <c r="Z52" s="84"/>
      <c r="AA52" s="66"/>
      <c r="AB52" s="54"/>
      <c r="AC52" s="54"/>
      <c r="AD52" s="54"/>
    </row>
    <row r="53" spans="1:30" outlineLevel="3" x14ac:dyDescent="0.25">
      <c r="A53" s="54"/>
      <c r="B53" s="63"/>
      <c r="C53" s="99">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f>INT($C$40)+3</f>
        <v>4</v>
      </c>
      <c r="D54" s="84"/>
      <c r="E54" s="79"/>
      <c r="F54" s="79"/>
      <c r="G54" s="84"/>
      <c r="H54" s="87" t="s">
        <v>2307</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9">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9">
        <f>INT($C$40)+2.005</f>
        <v>3.0049999999999999</v>
      </c>
      <c r="D57" s="84" t="s">
        <v>200</v>
      </c>
      <c r="E57" s="84"/>
      <c r="F57" s="84"/>
      <c r="G57" s="84"/>
      <c r="H57" s="106"/>
      <c r="I57" s="106"/>
      <c r="J57" s="106"/>
      <c r="K57" s="106"/>
      <c r="L57" s="106"/>
      <c r="M57" s="106"/>
      <c r="N57" s="106"/>
      <c r="O57" s="106"/>
      <c r="P57" s="106"/>
      <c r="Q57" s="106"/>
      <c r="R57" s="106"/>
      <c r="S57" s="106"/>
      <c r="T57" s="106"/>
      <c r="U57" s="106"/>
      <c r="V57" s="106"/>
      <c r="W57" s="106"/>
      <c r="X57" s="106"/>
      <c r="Y57" s="106"/>
      <c r="Z57" s="84"/>
      <c r="AA57" s="66"/>
      <c r="AB57" s="54"/>
      <c r="AC57" s="54"/>
      <c r="AD57" s="54"/>
    </row>
    <row r="58" spans="1:30" outlineLevel="2" x14ac:dyDescent="0.25">
      <c r="A58" s="54"/>
      <c r="B58" s="63"/>
      <c r="C58" s="99">
        <f>INT($C$40)+2</f>
        <v>3</v>
      </c>
      <c r="D58" s="84"/>
      <c r="E58" s="79"/>
      <c r="F58" s="327" t="s">
        <v>1921</v>
      </c>
      <c r="G58" s="84"/>
      <c r="H58" s="329" t="s">
        <v>2308</v>
      </c>
      <c r="I58" s="91">
        <v>2</v>
      </c>
      <c r="J58" s="149" t="s">
        <v>1192</v>
      </c>
      <c r="K58" s="91">
        <v>3</v>
      </c>
      <c r="L58" s="91">
        <v>6</v>
      </c>
      <c r="M58" s="117"/>
      <c r="N58" s="117"/>
      <c r="O58" s="117"/>
      <c r="P58" s="117"/>
      <c r="Q58" s="117"/>
      <c r="R58" s="109" t="s">
        <v>2309</v>
      </c>
      <c r="S58" s="117"/>
      <c r="T58" s="117"/>
      <c r="U58" s="117"/>
      <c r="V58" s="117"/>
      <c r="W58" s="117"/>
      <c r="X58" s="117"/>
      <c r="Y58" s="117"/>
      <c r="Z58" s="84"/>
      <c r="AA58" s="66"/>
      <c r="AB58" s="54"/>
      <c r="AC58" s="54"/>
      <c r="AD58" s="54"/>
    </row>
    <row r="59" spans="1:30" outlineLevel="2" x14ac:dyDescent="0.25">
      <c r="A59" s="54"/>
      <c r="B59" s="63"/>
      <c r="C59" s="99">
        <f>INT($C$40)+2</f>
        <v>3</v>
      </c>
      <c r="D59" s="84"/>
      <c r="E59" s="79" t="s">
        <v>2310</v>
      </c>
      <c r="F59" s="79" t="s">
        <v>2311</v>
      </c>
      <c r="G59" s="84"/>
      <c r="H59" s="87" t="s">
        <v>2312</v>
      </c>
      <c r="I59" s="87"/>
      <c r="J59" s="87"/>
      <c r="K59" s="109">
        <v>1</v>
      </c>
      <c r="L59" s="109"/>
      <c r="M59" s="109"/>
      <c r="N59" s="109"/>
      <c r="O59" s="87"/>
      <c r="P59" s="87"/>
      <c r="Q59" s="87"/>
      <c r="R59" s="87"/>
      <c r="S59" s="87"/>
      <c r="T59" s="87"/>
      <c r="U59" s="87"/>
      <c r="V59" s="87"/>
      <c r="W59" s="87"/>
      <c r="X59" s="87"/>
      <c r="Y59" s="87"/>
      <c r="Z59" s="84"/>
      <c r="AA59" s="66"/>
      <c r="AB59" s="54"/>
      <c r="AC59" s="54"/>
      <c r="AD59" s="54"/>
    </row>
    <row r="60" spans="1:30" outlineLevel="3" x14ac:dyDescent="0.25">
      <c r="A60" s="54"/>
      <c r="B60" s="63"/>
      <c r="C60" s="99">
        <f t="shared" ref="C60:C111" si="0">INT($C$40)+3</f>
        <v>4</v>
      </c>
      <c r="D60" s="84"/>
      <c r="E60" s="79"/>
      <c r="F60" s="79" t="s">
        <v>2313</v>
      </c>
      <c r="G60" s="84"/>
      <c r="H60" s="87" t="s">
        <v>2314</v>
      </c>
      <c r="I60" s="87"/>
      <c r="J60" s="87"/>
      <c r="K60" s="109">
        <v>1</v>
      </c>
      <c r="L60" s="109"/>
      <c r="M60" s="109"/>
      <c r="N60" s="109"/>
      <c r="O60" s="87"/>
      <c r="P60" s="87"/>
      <c r="Q60" s="87"/>
      <c r="R60" s="87"/>
      <c r="S60" s="87"/>
      <c r="T60" s="87"/>
      <c r="U60" s="87"/>
      <c r="V60" s="87"/>
      <c r="W60" s="87"/>
      <c r="X60" s="87"/>
      <c r="Y60" s="87"/>
      <c r="Z60" s="84"/>
      <c r="AA60" s="66"/>
      <c r="AB60" s="54"/>
      <c r="AC60" s="54"/>
      <c r="AD60" s="54"/>
    </row>
    <row r="61" spans="1:30" outlineLevel="3" x14ac:dyDescent="0.25">
      <c r="A61" s="54"/>
      <c r="B61" s="63"/>
      <c r="C61" s="99">
        <f t="shared" si="0"/>
        <v>4</v>
      </c>
      <c r="D61" s="84"/>
      <c r="E61" s="79"/>
      <c r="F61" s="79" t="s">
        <v>2315</v>
      </c>
      <c r="G61" s="84"/>
      <c r="H61" s="87" t="s">
        <v>2316</v>
      </c>
      <c r="I61" s="87"/>
      <c r="J61" s="87"/>
      <c r="K61" s="109">
        <v>1.0003500000000001</v>
      </c>
      <c r="L61" s="109"/>
      <c r="M61" s="109"/>
      <c r="N61" s="109"/>
      <c r="O61" s="87"/>
      <c r="P61" s="87"/>
      <c r="Q61" s="87"/>
      <c r="R61" s="87"/>
      <c r="S61" s="87"/>
      <c r="T61" s="87"/>
      <c r="U61" s="87"/>
      <c r="V61" s="87"/>
      <c r="W61" s="87"/>
      <c r="X61" s="87"/>
      <c r="Y61" s="87"/>
      <c r="Z61" s="84"/>
      <c r="AA61" s="66"/>
      <c r="AB61" s="54"/>
      <c r="AC61" s="54"/>
      <c r="AD61" s="54"/>
    </row>
    <row r="62" spans="1:30" outlineLevel="3" x14ac:dyDescent="0.25">
      <c r="A62" s="54"/>
      <c r="B62" s="63"/>
      <c r="C62" s="99">
        <f t="shared" si="0"/>
        <v>4</v>
      </c>
      <c r="D62" s="84"/>
      <c r="E62" s="79"/>
      <c r="F62" s="79" t="s">
        <v>2317</v>
      </c>
      <c r="G62" s="84"/>
      <c r="H62" s="87" t="s">
        <v>2318</v>
      </c>
      <c r="I62" s="87"/>
      <c r="J62" s="87"/>
      <c r="K62" s="109">
        <v>1.0003500000000001</v>
      </c>
      <c r="L62" s="109"/>
      <c r="M62" s="109"/>
      <c r="N62" s="109"/>
      <c r="O62" s="87"/>
      <c r="P62" s="87"/>
      <c r="Q62" s="87"/>
      <c r="R62" s="87"/>
      <c r="S62" s="87"/>
      <c r="T62" s="87"/>
      <c r="U62" s="87"/>
      <c r="V62" s="87"/>
      <c r="W62" s="87"/>
      <c r="X62" s="87"/>
      <c r="Y62" s="87"/>
      <c r="Z62" s="84"/>
      <c r="AA62" s="66"/>
      <c r="AB62" s="54"/>
      <c r="AC62" s="54"/>
      <c r="AD62" s="54"/>
    </row>
    <row r="63" spans="1:30" outlineLevel="3" x14ac:dyDescent="0.25">
      <c r="A63" s="54"/>
      <c r="B63" s="63"/>
      <c r="C63" s="99">
        <f t="shared" si="0"/>
        <v>4</v>
      </c>
      <c r="D63" s="84"/>
      <c r="E63" s="79"/>
      <c r="F63" s="79" t="s">
        <v>2319</v>
      </c>
      <c r="G63" s="84"/>
      <c r="H63" s="87" t="s">
        <v>2320</v>
      </c>
      <c r="I63" s="87"/>
      <c r="J63" s="87"/>
      <c r="K63" s="109">
        <v>1.0429999999999999</v>
      </c>
      <c r="L63" s="109"/>
      <c r="M63" s="109"/>
      <c r="N63" s="109"/>
      <c r="O63" s="87"/>
      <c r="P63" s="87"/>
      <c r="Q63" s="87"/>
      <c r="R63" s="87"/>
      <c r="S63" s="87"/>
      <c r="T63" s="87"/>
      <c r="U63" s="87"/>
      <c r="V63" s="87"/>
      <c r="W63" s="87"/>
      <c r="X63" s="87"/>
      <c r="Y63" s="87"/>
      <c r="Z63" s="84"/>
      <c r="AA63" s="66"/>
      <c r="AB63" s="54"/>
      <c r="AC63" s="54"/>
      <c r="AD63" s="54"/>
    </row>
    <row r="64" spans="1:30" outlineLevel="3" x14ac:dyDescent="0.25">
      <c r="A64" s="54"/>
      <c r="B64" s="63"/>
      <c r="C64" s="99">
        <f t="shared" si="0"/>
        <v>4</v>
      </c>
      <c r="D64" s="84"/>
      <c r="E64" s="79"/>
      <c r="F64" s="79" t="s">
        <v>2321</v>
      </c>
      <c r="G64" s="84"/>
      <c r="H64" s="87" t="s">
        <v>2322</v>
      </c>
      <c r="I64" s="87"/>
      <c r="J64" s="87"/>
      <c r="K64" s="109">
        <v>1.0900000000000001</v>
      </c>
      <c r="L64" s="109"/>
      <c r="M64" s="109"/>
      <c r="N64" s="109"/>
      <c r="O64" s="87"/>
      <c r="P64" s="87"/>
      <c r="Q64" s="87"/>
      <c r="R64" s="87"/>
      <c r="S64" s="87"/>
      <c r="T64" s="87"/>
      <c r="U64" s="87"/>
      <c r="V64" s="87"/>
      <c r="W64" s="87"/>
      <c r="X64" s="87"/>
      <c r="Y64" s="87"/>
      <c r="Z64" s="84"/>
      <c r="AA64" s="66"/>
      <c r="AB64" s="54"/>
      <c r="AC64" s="54"/>
      <c r="AD64" s="54"/>
    </row>
    <row r="65" spans="1:30" outlineLevel="3" x14ac:dyDescent="0.25">
      <c r="A65" s="54"/>
      <c r="B65" s="63"/>
      <c r="C65" s="99">
        <f t="shared" si="0"/>
        <v>4</v>
      </c>
      <c r="D65" s="84"/>
      <c r="E65" s="79"/>
      <c r="F65" s="79" t="s">
        <v>2323</v>
      </c>
      <c r="G65" s="84"/>
      <c r="H65" s="87" t="s">
        <v>2324</v>
      </c>
      <c r="I65" s="87"/>
      <c r="J65" s="87"/>
      <c r="K65" s="109">
        <v>0</v>
      </c>
      <c r="L65" s="109"/>
      <c r="M65" s="109"/>
      <c r="N65" s="109"/>
      <c r="O65" s="87"/>
      <c r="P65" s="87"/>
      <c r="Q65" s="87"/>
      <c r="R65" s="87"/>
      <c r="S65" s="87"/>
      <c r="T65" s="87"/>
      <c r="U65" s="87"/>
      <c r="V65" s="87"/>
      <c r="W65" s="87"/>
      <c r="X65" s="87"/>
      <c r="Y65" s="87"/>
      <c r="Z65" s="84"/>
      <c r="AA65" s="66"/>
      <c r="AB65" s="54"/>
      <c r="AC65" s="54"/>
      <c r="AD65" s="54"/>
    </row>
    <row r="66" spans="1:30" outlineLevel="3" x14ac:dyDescent="0.25">
      <c r="A66" s="54"/>
      <c r="B66" s="63"/>
      <c r="C66" s="99">
        <f t="shared" si="0"/>
        <v>4</v>
      </c>
      <c r="D66" s="84"/>
      <c r="E66" s="79"/>
      <c r="F66" s="79" t="s">
        <v>2325</v>
      </c>
      <c r="G66" s="84"/>
      <c r="H66" s="87" t="s">
        <v>2314</v>
      </c>
      <c r="I66" s="87"/>
      <c r="J66" s="87"/>
      <c r="K66" s="109">
        <v>0</v>
      </c>
      <c r="L66" s="109"/>
      <c r="M66" s="109"/>
      <c r="N66" s="109"/>
      <c r="O66" s="87"/>
      <c r="P66" s="87"/>
      <c r="Q66" s="87"/>
      <c r="R66" s="87"/>
      <c r="S66" s="87"/>
      <c r="T66" s="87"/>
      <c r="U66" s="87"/>
      <c r="V66" s="87"/>
      <c r="W66" s="87"/>
      <c r="X66" s="87"/>
      <c r="Y66" s="87"/>
      <c r="Z66" s="84"/>
      <c r="AA66" s="66"/>
      <c r="AB66" s="54"/>
      <c r="AC66" s="54"/>
      <c r="AD66" s="54"/>
    </row>
    <row r="67" spans="1:30" outlineLevel="3" x14ac:dyDescent="0.25">
      <c r="A67" s="54"/>
      <c r="B67" s="63"/>
      <c r="C67" s="99">
        <f t="shared" si="0"/>
        <v>4</v>
      </c>
      <c r="D67" s="84"/>
      <c r="E67" s="79"/>
      <c r="F67" s="79" t="s">
        <v>2326</v>
      </c>
      <c r="G67" s="84"/>
      <c r="H67" s="87" t="s">
        <v>2316</v>
      </c>
      <c r="I67" s="87"/>
      <c r="J67" s="87"/>
      <c r="K67" s="109">
        <v>0</v>
      </c>
      <c r="L67" s="109"/>
      <c r="M67" s="109"/>
      <c r="N67" s="109"/>
      <c r="O67" s="87"/>
      <c r="P67" s="87"/>
      <c r="Q67" s="87"/>
      <c r="R67" s="87"/>
      <c r="S67" s="87"/>
      <c r="T67" s="87"/>
      <c r="U67" s="87"/>
      <c r="V67" s="87"/>
      <c r="W67" s="87"/>
      <c r="X67" s="87"/>
      <c r="Y67" s="87"/>
      <c r="Z67" s="84"/>
      <c r="AA67" s="66"/>
      <c r="AB67" s="54"/>
      <c r="AC67" s="54"/>
      <c r="AD67" s="54"/>
    </row>
    <row r="68" spans="1:30" outlineLevel="3" x14ac:dyDescent="0.25">
      <c r="A68" s="54"/>
      <c r="B68" s="63"/>
      <c r="C68" s="99">
        <f t="shared" si="0"/>
        <v>4</v>
      </c>
      <c r="D68" s="84"/>
      <c r="E68" s="79"/>
      <c r="F68" s="79" t="s">
        <v>2327</v>
      </c>
      <c r="G68" s="84"/>
      <c r="H68" s="87" t="s">
        <v>2318</v>
      </c>
      <c r="I68" s="87"/>
      <c r="J68" s="87"/>
      <c r="K68" s="109">
        <v>0</v>
      </c>
      <c r="L68" s="109"/>
      <c r="M68" s="109"/>
      <c r="N68" s="109"/>
      <c r="O68" s="87"/>
      <c r="P68" s="87"/>
      <c r="Q68" s="87"/>
      <c r="R68" s="87"/>
      <c r="S68" s="87"/>
      <c r="T68" s="87"/>
      <c r="U68" s="87"/>
      <c r="V68" s="87"/>
      <c r="W68" s="87"/>
      <c r="X68" s="87"/>
      <c r="Y68" s="87"/>
      <c r="Z68" s="84"/>
      <c r="AA68" s="66"/>
      <c r="AB68" s="54"/>
      <c r="AC68" s="54"/>
      <c r="AD68" s="54"/>
    </row>
    <row r="69" spans="1:30" outlineLevel="3" x14ac:dyDescent="0.25">
      <c r="A69" s="54"/>
      <c r="B69" s="63"/>
      <c r="C69" s="99">
        <f t="shared" si="0"/>
        <v>4</v>
      </c>
      <c r="D69" s="84"/>
      <c r="E69" s="79"/>
      <c r="F69" s="79" t="s">
        <v>2328</v>
      </c>
      <c r="G69" s="84"/>
      <c r="H69" s="87" t="s">
        <v>2320</v>
      </c>
      <c r="I69" s="87"/>
      <c r="J69" s="87"/>
      <c r="K69" s="109">
        <v>-178</v>
      </c>
      <c r="L69" s="109"/>
      <c r="M69" s="109"/>
      <c r="N69" s="109"/>
      <c r="O69" s="87"/>
      <c r="P69" s="87"/>
      <c r="Q69" s="87"/>
      <c r="R69" s="87"/>
      <c r="S69" s="87"/>
      <c r="T69" s="87"/>
      <c r="U69" s="87"/>
      <c r="V69" s="87"/>
      <c r="W69" s="87"/>
      <c r="X69" s="87"/>
      <c r="Y69" s="87"/>
      <c r="Z69" s="84"/>
      <c r="AA69" s="66"/>
      <c r="AB69" s="54"/>
      <c r="AC69" s="54"/>
      <c r="AD69" s="54"/>
    </row>
    <row r="70" spans="1:30" outlineLevel="3" x14ac:dyDescent="0.25">
      <c r="A70" s="54"/>
      <c r="B70" s="63"/>
      <c r="C70" s="99">
        <f t="shared" si="0"/>
        <v>4</v>
      </c>
      <c r="D70" s="84"/>
      <c r="E70" s="79"/>
      <c r="F70" s="79" t="s">
        <v>2329</v>
      </c>
      <c r="G70" s="84"/>
      <c r="H70" s="87" t="s">
        <v>2322</v>
      </c>
      <c r="I70" s="87"/>
      <c r="J70" s="87"/>
      <c r="K70" s="109">
        <v>-454</v>
      </c>
      <c r="L70" s="109"/>
      <c r="M70" s="109"/>
      <c r="N70" s="109"/>
      <c r="O70" s="87"/>
      <c r="P70" s="87"/>
      <c r="Q70" s="87"/>
      <c r="R70" s="87"/>
      <c r="S70" s="87"/>
      <c r="T70" s="87"/>
      <c r="U70" s="87"/>
      <c r="V70" s="87"/>
      <c r="W70" s="87"/>
      <c r="X70" s="87"/>
      <c r="Y70" s="87"/>
      <c r="Z70" s="84"/>
      <c r="AA70" s="66"/>
      <c r="AB70" s="54"/>
      <c r="AC70" s="54"/>
      <c r="AD70" s="54"/>
    </row>
    <row r="71" spans="1:30" outlineLevel="3" x14ac:dyDescent="0.25">
      <c r="A71" s="54"/>
      <c r="B71" s="63"/>
      <c r="C71" s="99">
        <f t="shared" si="0"/>
        <v>4</v>
      </c>
      <c r="D71" s="84"/>
      <c r="E71" s="79"/>
      <c r="F71" s="79" t="s">
        <v>2330</v>
      </c>
      <c r="G71" s="84"/>
      <c r="H71" s="87" t="s">
        <v>2331</v>
      </c>
      <c r="I71" s="87"/>
      <c r="J71" s="87"/>
      <c r="K71" s="109">
        <v>0</v>
      </c>
      <c r="L71" s="109"/>
      <c r="M71" s="109"/>
      <c r="N71" s="109"/>
      <c r="O71" s="87"/>
      <c r="P71" s="87"/>
      <c r="Q71" s="87"/>
      <c r="R71" s="87"/>
      <c r="S71" s="87"/>
      <c r="T71" s="87"/>
      <c r="U71" s="87"/>
      <c r="V71" s="87"/>
      <c r="W71" s="87"/>
      <c r="X71" s="87"/>
      <c r="Y71" s="87"/>
      <c r="Z71" s="84"/>
      <c r="AA71" s="66"/>
      <c r="AB71" s="54"/>
      <c r="AC71" s="54"/>
      <c r="AD71" s="54"/>
    </row>
    <row r="72" spans="1:30" outlineLevel="3" x14ac:dyDescent="0.25">
      <c r="A72" s="54"/>
      <c r="B72" s="63"/>
      <c r="C72" s="99">
        <f t="shared" si="0"/>
        <v>4</v>
      </c>
      <c r="D72" s="84"/>
      <c r="E72" s="79"/>
      <c r="F72" s="79" t="s">
        <v>2332</v>
      </c>
      <c r="G72" s="84"/>
      <c r="H72" s="87" t="s">
        <v>2314</v>
      </c>
      <c r="I72" s="87"/>
      <c r="J72" s="87"/>
      <c r="K72" s="109">
        <v>0</v>
      </c>
      <c r="L72" s="109"/>
      <c r="M72" s="109"/>
      <c r="N72" s="109"/>
      <c r="O72" s="87"/>
      <c r="P72" s="87"/>
      <c r="Q72" s="87"/>
      <c r="R72" s="87"/>
      <c r="S72" s="87"/>
      <c r="T72" s="87"/>
      <c r="U72" s="87"/>
      <c r="V72" s="87"/>
      <c r="W72" s="87"/>
      <c r="X72" s="87"/>
      <c r="Y72" s="87"/>
      <c r="Z72" s="84"/>
      <c r="AA72" s="66"/>
      <c r="AB72" s="54"/>
      <c r="AC72" s="54"/>
      <c r="AD72" s="54"/>
    </row>
    <row r="73" spans="1:30" outlineLevel="3" x14ac:dyDescent="0.25">
      <c r="A73" s="54"/>
      <c r="B73" s="63"/>
      <c r="C73" s="99">
        <f t="shared" si="0"/>
        <v>4</v>
      </c>
      <c r="D73" s="84"/>
      <c r="E73" s="79"/>
      <c r="F73" s="79" t="s">
        <v>2333</v>
      </c>
      <c r="G73" s="84"/>
      <c r="H73" s="87" t="s">
        <v>2316</v>
      </c>
      <c r="I73" s="87"/>
      <c r="J73" s="87"/>
      <c r="K73" s="109">
        <v>-429</v>
      </c>
      <c r="L73" s="109"/>
      <c r="M73" s="109"/>
      <c r="N73" s="109"/>
      <c r="O73" s="87"/>
      <c r="P73" s="87"/>
      <c r="Q73" s="87"/>
      <c r="R73" s="87"/>
      <c r="S73" s="87"/>
      <c r="T73" s="87"/>
      <c r="U73" s="87"/>
      <c r="V73" s="87"/>
      <c r="W73" s="87"/>
      <c r="X73" s="87"/>
      <c r="Y73" s="87"/>
      <c r="Z73" s="84"/>
      <c r="AA73" s="66"/>
      <c r="AB73" s="54"/>
      <c r="AC73" s="54"/>
      <c r="AD73" s="54"/>
    </row>
    <row r="74" spans="1:30" outlineLevel="3" x14ac:dyDescent="0.25">
      <c r="A74" s="54"/>
      <c r="B74" s="63"/>
      <c r="C74" s="99">
        <f t="shared" si="0"/>
        <v>4</v>
      </c>
      <c r="D74" s="84"/>
      <c r="E74" s="79"/>
      <c r="F74" s="79" t="s">
        <v>2334</v>
      </c>
      <c r="G74" s="84"/>
      <c r="H74" s="87" t="s">
        <v>2318</v>
      </c>
      <c r="I74" s="87"/>
      <c r="J74" s="87"/>
      <c r="K74" s="109">
        <v>-429</v>
      </c>
      <c r="L74" s="109"/>
      <c r="M74" s="109"/>
      <c r="N74" s="109"/>
      <c r="O74" s="87"/>
      <c r="P74" s="87"/>
      <c r="Q74" s="87"/>
      <c r="R74" s="87"/>
      <c r="S74" s="87"/>
      <c r="T74" s="87"/>
      <c r="U74" s="87"/>
      <c r="V74" s="87"/>
      <c r="W74" s="87"/>
      <c r="X74" s="87"/>
      <c r="Y74" s="87"/>
      <c r="Z74" s="84"/>
      <c r="AA74" s="66"/>
      <c r="AB74" s="54"/>
      <c r="AC74" s="54"/>
      <c r="AD74" s="54"/>
    </row>
    <row r="75" spans="1:30" outlineLevel="3" x14ac:dyDescent="0.25">
      <c r="A75" s="54"/>
      <c r="B75" s="63"/>
      <c r="C75" s="99">
        <f t="shared" si="0"/>
        <v>4</v>
      </c>
      <c r="D75" s="84"/>
      <c r="E75" s="79"/>
      <c r="F75" s="79" t="s">
        <v>2335</v>
      </c>
      <c r="G75" s="84"/>
      <c r="H75" s="87" t="s">
        <v>2320</v>
      </c>
      <c r="I75" s="87"/>
      <c r="J75" s="87"/>
      <c r="K75" s="109">
        <v>-268</v>
      </c>
      <c r="L75" s="109"/>
      <c r="M75" s="109"/>
      <c r="N75" s="109"/>
      <c r="O75" s="87"/>
      <c r="P75" s="87"/>
      <c r="Q75" s="87"/>
      <c r="R75" s="87"/>
      <c r="S75" s="87"/>
      <c r="T75" s="87"/>
      <c r="U75" s="87"/>
      <c r="V75" s="87"/>
      <c r="W75" s="87"/>
      <c r="X75" s="87"/>
      <c r="Y75" s="87"/>
      <c r="Z75" s="84"/>
      <c r="AA75" s="66"/>
      <c r="AB75" s="54"/>
      <c r="AC75" s="54"/>
      <c r="AD75" s="54"/>
    </row>
    <row r="76" spans="1:30" outlineLevel="3" x14ac:dyDescent="0.25">
      <c r="A76" s="54"/>
      <c r="B76" s="63"/>
      <c r="C76" s="99">
        <f t="shared" si="0"/>
        <v>4</v>
      </c>
      <c r="D76" s="84"/>
      <c r="E76" s="79"/>
      <c r="F76" s="79" t="s">
        <v>2336</v>
      </c>
      <c r="G76" s="84"/>
      <c r="H76" s="87" t="s">
        <v>2322</v>
      </c>
      <c r="I76" s="87"/>
      <c r="J76" s="87"/>
      <c r="K76" s="109">
        <v>-650</v>
      </c>
      <c r="L76" s="109"/>
      <c r="M76" s="109"/>
      <c r="N76" s="109"/>
      <c r="O76" s="87"/>
      <c r="P76" s="87"/>
      <c r="Q76" s="87"/>
      <c r="R76" s="87"/>
      <c r="S76" s="87"/>
      <c r="T76" s="87"/>
      <c r="U76" s="87"/>
      <c r="V76" s="87"/>
      <c r="W76" s="87"/>
      <c r="X76" s="87"/>
      <c r="Y76" s="87"/>
      <c r="Z76" s="84"/>
      <c r="AA76" s="66"/>
      <c r="AB76" s="54"/>
      <c r="AC76" s="54"/>
      <c r="AD76" s="54"/>
    </row>
    <row r="77" spans="1:30" outlineLevel="3" x14ac:dyDescent="0.25">
      <c r="A77" s="54"/>
      <c r="B77" s="63"/>
      <c r="C77" s="99">
        <f t="shared" si="0"/>
        <v>4</v>
      </c>
      <c r="D77" s="84"/>
      <c r="E77" s="79"/>
      <c r="F77" s="327" t="s">
        <v>1921</v>
      </c>
      <c r="G77" s="84"/>
      <c r="H77" s="329" t="s">
        <v>2337</v>
      </c>
      <c r="I77" s="149"/>
      <c r="J77" s="149" t="s">
        <v>1192</v>
      </c>
      <c r="K77" s="91">
        <v>6</v>
      </c>
      <c r="L77" s="91">
        <v>6</v>
      </c>
      <c r="M77" s="87"/>
      <c r="N77" s="87"/>
      <c r="O77" s="87"/>
      <c r="P77" s="87"/>
      <c r="Q77" s="87"/>
      <c r="R77" s="109" t="s">
        <v>2309</v>
      </c>
      <c r="S77" s="87"/>
      <c r="T77" s="87"/>
      <c r="U77" s="87"/>
      <c r="V77" s="87"/>
      <c r="W77" s="87"/>
      <c r="X77" s="87"/>
      <c r="Y77" s="87"/>
      <c r="Z77" s="84"/>
      <c r="AA77" s="66"/>
      <c r="AB77" s="54"/>
      <c r="AC77" s="54"/>
      <c r="AD77" s="54"/>
    </row>
    <row r="78" spans="1:30" outlineLevel="3" x14ac:dyDescent="0.25">
      <c r="A78" s="54"/>
      <c r="B78" s="63"/>
      <c r="C78" s="99">
        <f t="shared" si="0"/>
        <v>4</v>
      </c>
      <c r="D78" s="84"/>
      <c r="E78" s="79" t="s">
        <v>2338</v>
      </c>
      <c r="F78" s="79" t="s">
        <v>2339</v>
      </c>
      <c r="G78" s="84"/>
      <c r="H78" s="87" t="s">
        <v>2340</v>
      </c>
      <c r="I78" s="87"/>
      <c r="J78" s="87"/>
      <c r="K78" s="109">
        <v>0</v>
      </c>
      <c r="L78" s="109"/>
      <c r="M78" s="109"/>
      <c r="N78" s="109"/>
      <c r="O78" s="87"/>
      <c r="P78" s="87"/>
      <c r="Q78" s="87"/>
      <c r="R78" s="87"/>
      <c r="S78" s="87"/>
      <c r="T78" s="87"/>
      <c r="U78" s="87"/>
      <c r="V78" s="87"/>
      <c r="W78" s="87"/>
      <c r="X78" s="87"/>
      <c r="Y78" s="87"/>
      <c r="Z78" s="84"/>
      <c r="AA78" s="66"/>
      <c r="AB78" s="54"/>
      <c r="AC78" s="54"/>
      <c r="AD78" s="54"/>
    </row>
    <row r="79" spans="1:30" outlineLevel="3" x14ac:dyDescent="0.25">
      <c r="A79" s="54"/>
      <c r="B79" s="63"/>
      <c r="C79" s="99">
        <f t="shared" si="0"/>
        <v>4</v>
      </c>
      <c r="D79" s="84"/>
      <c r="E79" s="79"/>
      <c r="F79" s="79" t="s">
        <v>2341</v>
      </c>
      <c r="G79" s="84"/>
      <c r="H79" s="87" t="s">
        <v>2314</v>
      </c>
      <c r="I79" s="87"/>
      <c r="J79" s="87"/>
      <c r="K79" s="109">
        <v>0</v>
      </c>
      <c r="L79" s="109"/>
      <c r="M79" s="109"/>
      <c r="N79" s="109"/>
      <c r="O79" s="87"/>
      <c r="P79" s="87"/>
      <c r="Q79" s="87"/>
      <c r="R79" s="87"/>
      <c r="S79" s="87"/>
      <c r="T79" s="87"/>
      <c r="U79" s="87"/>
      <c r="V79" s="87"/>
      <c r="W79" s="87"/>
      <c r="X79" s="87"/>
      <c r="Y79" s="87"/>
      <c r="Z79" s="84"/>
      <c r="AA79" s="66"/>
      <c r="AB79" s="54"/>
      <c r="AC79" s="54"/>
      <c r="AD79" s="54"/>
    </row>
    <row r="80" spans="1:30" outlineLevel="3" x14ac:dyDescent="0.25">
      <c r="A80" s="54"/>
      <c r="B80" s="63"/>
      <c r="C80" s="99">
        <f t="shared" si="0"/>
        <v>4</v>
      </c>
      <c r="D80" s="84"/>
      <c r="E80" s="79"/>
      <c r="F80" s="79" t="s">
        <v>2342</v>
      </c>
      <c r="G80" s="84"/>
      <c r="H80" s="87" t="s">
        <v>2316</v>
      </c>
      <c r="I80" s="87"/>
      <c r="J80" s="87"/>
      <c r="K80" s="109">
        <v>0</v>
      </c>
      <c r="L80" s="109"/>
      <c r="M80" s="109"/>
      <c r="N80" s="109"/>
      <c r="O80" s="87"/>
      <c r="P80" s="87"/>
      <c r="Q80" s="87"/>
      <c r="R80" s="87"/>
      <c r="S80" s="87"/>
      <c r="T80" s="87"/>
      <c r="U80" s="87"/>
      <c r="V80" s="87"/>
      <c r="W80" s="87"/>
      <c r="X80" s="87"/>
      <c r="Y80" s="87"/>
      <c r="Z80" s="84"/>
      <c r="AA80" s="66"/>
      <c r="AB80" s="54"/>
      <c r="AC80" s="54"/>
      <c r="AD80" s="54"/>
    </row>
    <row r="81" spans="1:30" outlineLevel="3" x14ac:dyDescent="0.25">
      <c r="A81" s="54"/>
      <c r="B81" s="63"/>
      <c r="C81" s="99">
        <f t="shared" si="0"/>
        <v>4</v>
      </c>
      <c r="D81" s="84"/>
      <c r="E81" s="79"/>
      <c r="F81" s="79" t="s">
        <v>2343</v>
      </c>
      <c r="G81" s="84"/>
      <c r="H81" s="87" t="s">
        <v>2318</v>
      </c>
      <c r="I81" s="87"/>
      <c r="J81" s="87"/>
      <c r="K81" s="109">
        <v>0</v>
      </c>
      <c r="L81" s="109"/>
      <c r="M81" s="109"/>
      <c r="N81" s="109"/>
      <c r="O81" s="87"/>
      <c r="P81" s="87"/>
      <c r="Q81" s="87"/>
      <c r="R81" s="87"/>
      <c r="S81" s="87"/>
      <c r="T81" s="87"/>
      <c r="U81" s="87"/>
      <c r="V81" s="87"/>
      <c r="W81" s="87"/>
      <c r="X81" s="87"/>
      <c r="Y81" s="87"/>
      <c r="Z81" s="84"/>
      <c r="AA81" s="66"/>
      <c r="AB81" s="54"/>
      <c r="AC81" s="54"/>
      <c r="AD81" s="54"/>
    </row>
    <row r="82" spans="1:30" outlineLevel="3" x14ac:dyDescent="0.25">
      <c r="A82" s="54"/>
      <c r="B82" s="63"/>
      <c r="C82" s="99">
        <f t="shared" si="0"/>
        <v>4</v>
      </c>
      <c r="D82" s="84"/>
      <c r="E82" s="79"/>
      <c r="F82" s="79" t="s">
        <v>2344</v>
      </c>
      <c r="G82" s="84"/>
      <c r="H82" s="87" t="s">
        <v>2320</v>
      </c>
      <c r="I82" s="87"/>
      <c r="J82" s="87"/>
      <c r="K82" s="109">
        <v>1.01E-3</v>
      </c>
      <c r="L82" s="109"/>
      <c r="M82" s="109"/>
      <c r="N82" s="109"/>
      <c r="O82" s="87"/>
      <c r="P82" s="87"/>
      <c r="Q82" s="87"/>
      <c r="R82" s="87"/>
      <c r="S82" s="87"/>
      <c r="T82" s="87"/>
      <c r="U82" s="87"/>
      <c r="V82" s="87"/>
      <c r="W82" s="87"/>
      <c r="X82" s="87"/>
      <c r="Y82" s="87"/>
      <c r="Z82" s="84"/>
      <c r="AA82" s="66"/>
      <c r="AB82" s="54"/>
      <c r="AC82" s="54"/>
      <c r="AD82" s="54"/>
    </row>
    <row r="83" spans="1:30" outlineLevel="3" x14ac:dyDescent="0.25">
      <c r="A83" s="54"/>
      <c r="B83" s="63"/>
      <c r="C83" s="99">
        <f t="shared" si="0"/>
        <v>4</v>
      </c>
      <c r="D83" s="84"/>
      <c r="E83" s="79"/>
      <c r="F83" s="79" t="s">
        <v>2345</v>
      </c>
      <c r="G83" s="84"/>
      <c r="H83" s="87" t="s">
        <v>2322</v>
      </c>
      <c r="I83" s="87"/>
      <c r="J83" s="87"/>
      <c r="K83" s="109">
        <v>8.4000000000000003E-4</v>
      </c>
      <c r="L83" s="109"/>
      <c r="M83" s="109"/>
      <c r="N83" s="109"/>
      <c r="O83" s="87"/>
      <c r="P83" s="87"/>
      <c r="Q83" s="87"/>
      <c r="R83" s="87"/>
      <c r="S83" s="87"/>
      <c r="T83" s="87"/>
      <c r="U83" s="87"/>
      <c r="V83" s="87"/>
      <c r="W83" s="87"/>
      <c r="X83" s="87"/>
      <c r="Y83" s="87"/>
      <c r="Z83" s="84"/>
      <c r="AA83" s="66"/>
      <c r="AB83" s="54"/>
      <c r="AC83" s="54"/>
      <c r="AD83" s="54"/>
    </row>
    <row r="84" spans="1:30" outlineLevel="3" x14ac:dyDescent="0.25">
      <c r="A84" s="54"/>
      <c r="B84" s="63"/>
      <c r="C84" s="99">
        <f t="shared" si="0"/>
        <v>4</v>
      </c>
      <c r="D84" s="84"/>
      <c r="E84" s="79"/>
      <c r="F84" s="79" t="s">
        <v>2346</v>
      </c>
      <c r="G84" s="84"/>
      <c r="H84" s="87" t="s">
        <v>2347</v>
      </c>
      <c r="I84" s="87"/>
      <c r="J84" s="87"/>
      <c r="K84" s="109">
        <v>0</v>
      </c>
      <c r="L84" s="109"/>
      <c r="M84" s="109"/>
      <c r="N84" s="109"/>
      <c r="O84" s="87"/>
      <c r="P84" s="87"/>
      <c r="Q84" s="87"/>
      <c r="R84" s="87"/>
      <c r="S84" s="87"/>
      <c r="T84" s="87"/>
      <c r="U84" s="87"/>
      <c r="V84" s="87"/>
      <c r="W84" s="87"/>
      <c r="X84" s="87"/>
      <c r="Y84" s="87"/>
      <c r="Z84" s="84"/>
      <c r="AA84" s="66"/>
      <c r="AB84" s="54"/>
      <c r="AC84" s="54"/>
      <c r="AD84" s="54"/>
    </row>
    <row r="85" spans="1:30" outlineLevel="3" x14ac:dyDescent="0.25">
      <c r="A85" s="54"/>
      <c r="B85" s="63"/>
      <c r="C85" s="99">
        <f t="shared" si="0"/>
        <v>4</v>
      </c>
      <c r="D85" s="84"/>
      <c r="E85" s="79"/>
      <c r="F85" s="79" t="s">
        <v>2348</v>
      </c>
      <c r="G85" s="84"/>
      <c r="H85" s="87" t="s">
        <v>2314</v>
      </c>
      <c r="I85" s="87"/>
      <c r="J85" s="87"/>
      <c r="K85" s="109">
        <v>0</v>
      </c>
      <c r="L85" s="109"/>
      <c r="M85" s="109"/>
      <c r="N85" s="109"/>
      <c r="O85" s="87"/>
      <c r="P85" s="87"/>
      <c r="Q85" s="87"/>
      <c r="R85" s="87"/>
      <c r="S85" s="87"/>
      <c r="T85" s="87"/>
      <c r="U85" s="87"/>
      <c r="V85" s="87"/>
      <c r="W85" s="87"/>
      <c r="X85" s="87"/>
      <c r="Y85" s="87"/>
      <c r="Z85" s="84"/>
      <c r="AA85" s="66"/>
      <c r="AB85" s="54"/>
      <c r="AC85" s="54"/>
      <c r="AD85" s="54"/>
    </row>
    <row r="86" spans="1:30" outlineLevel="3" x14ac:dyDescent="0.25">
      <c r="A86" s="54"/>
      <c r="B86" s="63"/>
      <c r="C86" s="99">
        <f t="shared" si="0"/>
        <v>4</v>
      </c>
      <c r="D86" s="84"/>
      <c r="E86" s="79"/>
      <c r="F86" s="79" t="s">
        <v>2349</v>
      </c>
      <c r="G86" s="84"/>
      <c r="H86" s="87" t="s">
        <v>2316</v>
      </c>
      <c r="I86" s="87"/>
      <c r="J86" s="87"/>
      <c r="K86" s="109">
        <v>0</v>
      </c>
      <c r="L86" s="109"/>
      <c r="M86" s="109"/>
      <c r="N86" s="109"/>
      <c r="O86" s="87"/>
      <c r="P86" s="87"/>
      <c r="Q86" s="87"/>
      <c r="R86" s="87"/>
      <c r="S86" s="87"/>
      <c r="T86" s="87"/>
      <c r="U86" s="87"/>
      <c r="V86" s="87"/>
      <c r="W86" s="87"/>
      <c r="X86" s="87"/>
      <c r="Y86" s="87"/>
      <c r="Z86" s="84"/>
      <c r="AA86" s="66"/>
      <c r="AB86" s="54"/>
      <c r="AC86" s="54"/>
      <c r="AD86" s="54"/>
    </row>
    <row r="87" spans="1:30" outlineLevel="3" x14ac:dyDescent="0.25">
      <c r="A87" s="54"/>
      <c r="B87" s="63"/>
      <c r="C87" s="99">
        <f t="shared" si="0"/>
        <v>4</v>
      </c>
      <c r="D87" s="84"/>
      <c r="E87" s="79"/>
      <c r="F87" s="79" t="s">
        <v>2350</v>
      </c>
      <c r="G87" s="84"/>
      <c r="H87" s="87" t="s">
        <v>2318</v>
      </c>
      <c r="I87" s="87"/>
      <c r="J87" s="87"/>
      <c r="K87" s="109">
        <v>0</v>
      </c>
      <c r="L87" s="109"/>
      <c r="M87" s="109"/>
      <c r="N87" s="109"/>
      <c r="O87" s="87"/>
      <c r="P87" s="87"/>
      <c r="Q87" s="87"/>
      <c r="R87" s="87"/>
      <c r="S87" s="87"/>
      <c r="T87" s="87"/>
      <c r="U87" s="87"/>
      <c r="V87" s="87"/>
      <c r="W87" s="87"/>
      <c r="X87" s="87"/>
      <c r="Y87" s="87"/>
      <c r="Z87" s="84"/>
      <c r="AA87" s="66"/>
      <c r="AB87" s="54"/>
      <c r="AC87" s="54"/>
      <c r="AD87" s="54"/>
    </row>
    <row r="88" spans="1:30" outlineLevel="3" x14ac:dyDescent="0.25">
      <c r="A88" s="54"/>
      <c r="B88" s="63"/>
      <c r="C88" s="99">
        <f t="shared" si="0"/>
        <v>4</v>
      </c>
      <c r="D88" s="84"/>
      <c r="E88" s="79"/>
      <c r="F88" s="79" t="s">
        <v>2351</v>
      </c>
      <c r="G88" s="84"/>
      <c r="H88" s="87" t="s">
        <v>2320</v>
      </c>
      <c r="I88" s="87"/>
      <c r="J88" s="87"/>
      <c r="K88" s="109">
        <v>-0.46</v>
      </c>
      <c r="L88" s="109"/>
      <c r="M88" s="109"/>
      <c r="N88" s="109"/>
      <c r="O88" s="87"/>
      <c r="P88" s="87"/>
      <c r="Q88" s="87"/>
      <c r="R88" s="87"/>
      <c r="S88" s="87"/>
      <c r="T88" s="87"/>
      <c r="U88" s="87"/>
      <c r="V88" s="87"/>
      <c r="W88" s="87"/>
      <c r="X88" s="87"/>
      <c r="Y88" s="87"/>
      <c r="Z88" s="84"/>
      <c r="AA88" s="66"/>
      <c r="AB88" s="54"/>
      <c r="AC88" s="54"/>
      <c r="AD88" s="54"/>
    </row>
    <row r="89" spans="1:30" outlineLevel="3" x14ac:dyDescent="0.25">
      <c r="A89" s="54"/>
      <c r="B89" s="63"/>
      <c r="C89" s="99">
        <f t="shared" si="0"/>
        <v>4</v>
      </c>
      <c r="D89" s="84"/>
      <c r="E89" s="79"/>
      <c r="F89" s="79" t="s">
        <v>2352</v>
      </c>
      <c r="G89" s="84"/>
      <c r="H89" s="87" t="s">
        <v>2322</v>
      </c>
      <c r="I89" s="87"/>
      <c r="J89" s="87"/>
      <c r="K89" s="109">
        <v>-0.22</v>
      </c>
      <c r="L89" s="109"/>
      <c r="M89" s="109"/>
      <c r="N89" s="109"/>
      <c r="O89" s="87"/>
      <c r="P89" s="87"/>
      <c r="Q89" s="87"/>
      <c r="R89" s="87"/>
      <c r="S89" s="87"/>
      <c r="T89" s="87"/>
      <c r="U89" s="87"/>
      <c r="V89" s="87"/>
      <c r="W89" s="87"/>
      <c r="X89" s="87"/>
      <c r="Y89" s="87"/>
      <c r="Z89" s="84"/>
      <c r="AA89" s="66"/>
      <c r="AB89" s="54"/>
      <c r="AC89" s="54"/>
      <c r="AD89" s="54"/>
    </row>
    <row r="90" spans="1:30" outlineLevel="3" x14ac:dyDescent="0.25">
      <c r="A90" s="54"/>
      <c r="B90" s="63"/>
      <c r="C90" s="99">
        <f t="shared" si="0"/>
        <v>4</v>
      </c>
      <c r="D90" s="84"/>
      <c r="E90" s="79"/>
      <c r="F90" s="79" t="s">
        <v>2353</v>
      </c>
      <c r="G90" s="84"/>
      <c r="H90" s="87" t="s">
        <v>2354</v>
      </c>
      <c r="I90" s="87"/>
      <c r="J90" s="87"/>
      <c r="K90" s="109">
        <v>0</v>
      </c>
      <c r="L90" s="109"/>
      <c r="M90" s="109"/>
      <c r="N90" s="109"/>
      <c r="O90" s="87"/>
      <c r="P90" s="87"/>
      <c r="Q90" s="87"/>
      <c r="R90" s="87"/>
      <c r="S90" s="87"/>
      <c r="T90" s="87"/>
      <c r="U90" s="87"/>
      <c r="V90" s="87"/>
      <c r="W90" s="87"/>
      <c r="X90" s="87"/>
      <c r="Y90" s="87"/>
      <c r="Z90" s="84"/>
      <c r="AA90" s="66"/>
      <c r="AB90" s="54"/>
      <c r="AC90" s="54"/>
      <c r="AD90" s="54"/>
    </row>
    <row r="91" spans="1:30" outlineLevel="3" x14ac:dyDescent="0.25">
      <c r="A91" s="54"/>
      <c r="B91" s="63"/>
      <c r="C91" s="99">
        <f t="shared" si="0"/>
        <v>4</v>
      </c>
      <c r="D91" s="84"/>
      <c r="E91" s="79"/>
      <c r="F91" s="79" t="s">
        <v>2355</v>
      </c>
      <c r="G91" s="84"/>
      <c r="H91" s="87" t="s">
        <v>2314</v>
      </c>
      <c r="I91" s="87"/>
      <c r="J91" s="87"/>
      <c r="K91" s="109">
        <v>0</v>
      </c>
      <c r="L91" s="109"/>
      <c r="M91" s="109"/>
      <c r="N91" s="109"/>
      <c r="O91" s="87"/>
      <c r="P91" s="87"/>
      <c r="Q91" s="87"/>
      <c r="R91" s="87"/>
      <c r="S91" s="87"/>
      <c r="T91" s="87"/>
      <c r="U91" s="87"/>
      <c r="V91" s="87"/>
      <c r="W91" s="87"/>
      <c r="X91" s="87"/>
      <c r="Y91" s="87"/>
      <c r="Z91" s="84"/>
      <c r="AA91" s="66"/>
      <c r="AB91" s="54"/>
      <c r="AC91" s="54"/>
      <c r="AD91" s="54"/>
    </row>
    <row r="92" spans="1:30" outlineLevel="3" x14ac:dyDescent="0.25">
      <c r="A92" s="54"/>
      <c r="B92" s="63"/>
      <c r="C92" s="99">
        <f t="shared" si="0"/>
        <v>4</v>
      </c>
      <c r="D92" s="84"/>
      <c r="E92" s="79"/>
      <c r="F92" s="79" t="s">
        <v>2356</v>
      </c>
      <c r="G92" s="84"/>
      <c r="H92" s="87" t="s">
        <v>2316</v>
      </c>
      <c r="I92" s="87"/>
      <c r="J92" s="87"/>
      <c r="K92" s="109">
        <v>0</v>
      </c>
      <c r="L92" s="109"/>
      <c r="M92" s="109"/>
      <c r="N92" s="109"/>
      <c r="O92" s="87"/>
      <c r="P92" s="87"/>
      <c r="Q92" s="87"/>
      <c r="R92" s="87"/>
      <c r="S92" s="87"/>
      <c r="T92" s="87"/>
      <c r="U92" s="87"/>
      <c r="V92" s="87"/>
      <c r="W92" s="87"/>
      <c r="X92" s="87"/>
      <c r="Y92" s="87"/>
      <c r="Z92" s="84"/>
      <c r="AA92" s="66"/>
      <c r="AB92" s="54"/>
      <c r="AC92" s="54"/>
      <c r="AD92" s="54"/>
    </row>
    <row r="93" spans="1:30" outlineLevel="3" x14ac:dyDescent="0.25">
      <c r="A93" s="54"/>
      <c r="B93" s="63"/>
      <c r="C93" s="99">
        <f t="shared" si="0"/>
        <v>4</v>
      </c>
      <c r="D93" s="84"/>
      <c r="E93" s="79"/>
      <c r="F93" s="79" t="s">
        <v>2357</v>
      </c>
      <c r="G93" s="84"/>
      <c r="H93" s="87" t="s">
        <v>2318</v>
      </c>
      <c r="I93" s="87"/>
      <c r="J93" s="87"/>
      <c r="K93" s="109">
        <v>0</v>
      </c>
      <c r="L93" s="109"/>
      <c r="M93" s="109"/>
      <c r="N93" s="109"/>
      <c r="O93" s="87"/>
      <c r="P93" s="87"/>
      <c r="Q93" s="87"/>
      <c r="R93" s="87"/>
      <c r="S93" s="87"/>
      <c r="T93" s="87"/>
      <c r="U93" s="87"/>
      <c r="V93" s="87"/>
      <c r="W93" s="87"/>
      <c r="X93" s="87"/>
      <c r="Y93" s="87"/>
      <c r="Z93" s="84"/>
      <c r="AA93" s="66"/>
      <c r="AB93" s="54"/>
      <c r="AC93" s="54"/>
      <c r="AD93" s="54"/>
    </row>
    <row r="94" spans="1:30" outlineLevel="3" x14ac:dyDescent="0.25">
      <c r="A94" s="54"/>
      <c r="B94" s="63"/>
      <c r="C94" s="99">
        <f t="shared" si="0"/>
        <v>4</v>
      </c>
      <c r="D94" s="84"/>
      <c r="E94" s="79"/>
      <c r="F94" s="79" t="s">
        <v>2358</v>
      </c>
      <c r="G94" s="84"/>
      <c r="H94" s="87" t="s">
        <v>2320</v>
      </c>
      <c r="I94" s="87"/>
      <c r="J94" s="87"/>
      <c r="K94" s="109">
        <v>-2.9999999999999997E-4</v>
      </c>
      <c r="L94" s="109"/>
      <c r="M94" s="109"/>
      <c r="N94" s="109"/>
      <c r="O94" s="87"/>
      <c r="P94" s="87"/>
      <c r="Q94" s="87"/>
      <c r="R94" s="87"/>
      <c r="S94" s="87"/>
      <c r="T94" s="87"/>
      <c r="U94" s="87"/>
      <c r="V94" s="87"/>
      <c r="W94" s="87"/>
      <c r="X94" s="87"/>
      <c r="Y94" s="87"/>
      <c r="Z94" s="84"/>
      <c r="AA94" s="66"/>
      <c r="AB94" s="54"/>
      <c r="AC94" s="54"/>
      <c r="AD94" s="54"/>
    </row>
    <row r="95" spans="1:30" outlineLevel="3" x14ac:dyDescent="0.25">
      <c r="A95" s="54"/>
      <c r="B95" s="63"/>
      <c r="C95" s="99">
        <f t="shared" si="0"/>
        <v>4</v>
      </c>
      <c r="D95" s="84"/>
      <c r="E95" s="79"/>
      <c r="F95" s="79" t="s">
        <v>2359</v>
      </c>
      <c r="G95" s="84"/>
      <c r="H95" s="87" t="s">
        <v>2322</v>
      </c>
      <c r="I95" s="87"/>
      <c r="J95" s="87"/>
      <c r="K95" s="109">
        <v>-2.4000000000000001E-4</v>
      </c>
      <c r="L95" s="109"/>
      <c r="M95" s="109"/>
      <c r="N95" s="109"/>
      <c r="O95" s="87"/>
      <c r="P95" s="87"/>
      <c r="Q95" s="87"/>
      <c r="R95" s="87"/>
      <c r="S95" s="87"/>
      <c r="T95" s="87"/>
      <c r="U95" s="87"/>
      <c r="V95" s="87"/>
      <c r="W95" s="87"/>
      <c r="X95" s="87"/>
      <c r="Y95" s="87"/>
      <c r="Z95" s="84"/>
      <c r="AA95" s="66"/>
      <c r="AB95" s="54"/>
      <c r="AC95" s="54"/>
      <c r="AD95" s="54"/>
    </row>
    <row r="96" spans="1:30" outlineLevel="3" x14ac:dyDescent="0.25">
      <c r="A96" s="54"/>
      <c r="B96" s="63"/>
      <c r="C96" s="99">
        <f t="shared" si="0"/>
        <v>4</v>
      </c>
      <c r="D96" s="84"/>
      <c r="E96" s="79"/>
      <c r="F96" s="79" t="s">
        <v>2360</v>
      </c>
      <c r="G96" s="84"/>
      <c r="H96" s="87" t="s">
        <v>2361</v>
      </c>
      <c r="I96" s="87"/>
      <c r="J96" s="87"/>
      <c r="K96" s="109">
        <v>-100</v>
      </c>
      <c r="L96" s="109"/>
      <c r="M96" s="109"/>
      <c r="N96" s="109"/>
      <c r="O96" s="87"/>
      <c r="P96" s="87"/>
      <c r="Q96" s="87"/>
      <c r="R96" s="87"/>
      <c r="S96" s="87"/>
      <c r="T96" s="87"/>
      <c r="U96" s="87"/>
      <c r="V96" s="87"/>
      <c r="W96" s="87"/>
      <c r="X96" s="87"/>
      <c r="Y96" s="87"/>
      <c r="Z96" s="84"/>
      <c r="AA96" s="66"/>
      <c r="AB96" s="54"/>
      <c r="AC96" s="54"/>
      <c r="AD96" s="54"/>
    </row>
    <row r="97" spans="1:30" outlineLevel="3" x14ac:dyDescent="0.25">
      <c r="A97" s="54"/>
      <c r="B97" s="63"/>
      <c r="C97" s="99">
        <f t="shared" si="0"/>
        <v>4</v>
      </c>
      <c r="D97" s="84"/>
      <c r="E97" s="79"/>
      <c r="F97" s="79" t="s">
        <v>2362</v>
      </c>
      <c r="G97" s="84"/>
      <c r="H97" s="87" t="s">
        <v>2314</v>
      </c>
      <c r="I97" s="87"/>
      <c r="J97" s="87"/>
      <c r="K97" s="109">
        <v>-100</v>
      </c>
      <c r="L97" s="109"/>
      <c r="M97" s="109"/>
      <c r="N97" s="109"/>
      <c r="O97" s="87"/>
      <c r="P97" s="87"/>
      <c r="Q97" s="87"/>
      <c r="R97" s="87"/>
      <c r="S97" s="87"/>
      <c r="T97" s="87"/>
      <c r="U97" s="87"/>
      <c r="V97" s="87"/>
      <c r="W97" s="87"/>
      <c r="X97" s="87"/>
      <c r="Y97" s="87"/>
      <c r="Z97" s="84"/>
      <c r="AA97" s="66"/>
      <c r="AB97" s="54"/>
      <c r="AC97" s="54"/>
      <c r="AD97" s="54"/>
    </row>
    <row r="98" spans="1:30" outlineLevel="3" x14ac:dyDescent="0.25">
      <c r="A98" s="54"/>
      <c r="B98" s="63"/>
      <c r="C98" s="99">
        <f t="shared" si="0"/>
        <v>4</v>
      </c>
      <c r="D98" s="84"/>
      <c r="E98" s="79"/>
      <c r="F98" s="79" t="s">
        <v>2363</v>
      </c>
      <c r="G98" s="84"/>
      <c r="H98" s="87" t="s">
        <v>2316</v>
      </c>
      <c r="I98" s="87"/>
      <c r="J98" s="87"/>
      <c r="K98" s="109">
        <v>-100</v>
      </c>
      <c r="L98" s="109"/>
      <c r="M98" s="109"/>
      <c r="N98" s="109"/>
      <c r="O98" s="87"/>
      <c r="P98" s="87"/>
      <c r="Q98" s="87"/>
      <c r="R98" s="87"/>
      <c r="S98" s="87"/>
      <c r="T98" s="87"/>
      <c r="U98" s="87"/>
      <c r="V98" s="87"/>
      <c r="W98" s="87"/>
      <c r="X98" s="87"/>
      <c r="Y98" s="87"/>
      <c r="Z98" s="84"/>
      <c r="AA98" s="66"/>
      <c r="AB98" s="54"/>
      <c r="AC98" s="54"/>
      <c r="AD98" s="54"/>
    </row>
    <row r="99" spans="1:30" outlineLevel="3" x14ac:dyDescent="0.25">
      <c r="A99" s="54"/>
      <c r="B99" s="63"/>
      <c r="C99" s="99">
        <f t="shared" si="0"/>
        <v>4</v>
      </c>
      <c r="D99" s="84"/>
      <c r="E99" s="79"/>
      <c r="F99" s="79" t="s">
        <v>2364</v>
      </c>
      <c r="G99" s="84"/>
      <c r="H99" s="87" t="s">
        <v>2318</v>
      </c>
      <c r="I99" s="87"/>
      <c r="J99" s="87"/>
      <c r="K99" s="109">
        <v>-100</v>
      </c>
      <c r="L99" s="109"/>
      <c r="M99" s="109"/>
      <c r="N99" s="109"/>
      <c r="O99" s="87"/>
      <c r="P99" s="87"/>
      <c r="Q99" s="87"/>
      <c r="R99" s="87"/>
      <c r="S99" s="87"/>
      <c r="T99" s="87"/>
      <c r="U99" s="87"/>
      <c r="V99" s="87"/>
      <c r="W99" s="87"/>
      <c r="X99" s="87"/>
      <c r="Y99" s="87"/>
      <c r="Z99" s="84"/>
      <c r="AA99" s="66"/>
      <c r="AB99" s="54"/>
      <c r="AC99" s="54"/>
      <c r="AD99" s="54"/>
    </row>
    <row r="100" spans="1:30" outlineLevel="3" x14ac:dyDescent="0.25">
      <c r="A100" s="54"/>
      <c r="B100" s="63"/>
      <c r="C100" s="99">
        <f t="shared" si="0"/>
        <v>4</v>
      </c>
      <c r="D100" s="84"/>
      <c r="E100" s="79"/>
      <c r="F100" s="79" t="s">
        <v>2365</v>
      </c>
      <c r="G100" s="84"/>
      <c r="H100" s="87" t="s">
        <v>2320</v>
      </c>
      <c r="I100" s="87"/>
      <c r="J100" s="87"/>
      <c r="K100" s="109">
        <v>2.4</v>
      </c>
      <c r="L100" s="109"/>
      <c r="M100" s="109"/>
      <c r="N100" s="109"/>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9">
        <f t="shared" si="0"/>
        <v>4</v>
      </c>
      <c r="D101" s="84"/>
      <c r="E101" s="79"/>
      <c r="F101" s="79" t="s">
        <v>2366</v>
      </c>
      <c r="G101" s="84"/>
      <c r="H101" s="87" t="s">
        <v>2322</v>
      </c>
      <c r="I101" s="87"/>
      <c r="J101" s="87"/>
      <c r="K101" s="109">
        <v>1.91</v>
      </c>
      <c r="L101" s="109"/>
      <c r="M101" s="109"/>
      <c r="N101" s="109"/>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9">
        <f t="shared" si="0"/>
        <v>4</v>
      </c>
      <c r="D102" s="84"/>
      <c r="E102" s="79"/>
      <c r="F102" s="79" t="s">
        <v>2367</v>
      </c>
      <c r="G102" s="84"/>
      <c r="H102" s="87" t="s">
        <v>2368</v>
      </c>
      <c r="I102" s="108" t="s">
        <v>2369</v>
      </c>
      <c r="J102" s="87"/>
      <c r="K102" s="109">
        <f>30/1000</f>
        <v>0.03</v>
      </c>
      <c r="L102" s="109"/>
      <c r="M102" s="109"/>
      <c r="N102" s="109"/>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9">
        <f t="shared" si="0"/>
        <v>4</v>
      </c>
      <c r="D103" s="84"/>
      <c r="E103" s="79"/>
      <c r="F103" s="79" t="s">
        <v>2370</v>
      </c>
      <c r="G103" s="84"/>
      <c r="H103" s="87" t="s">
        <v>2314</v>
      </c>
      <c r="I103" s="108" t="s">
        <v>2369</v>
      </c>
      <c r="J103" s="87"/>
      <c r="K103" s="109">
        <f>30/1000</f>
        <v>0.03</v>
      </c>
      <c r="L103" s="109"/>
      <c r="M103" s="109"/>
      <c r="N103" s="109"/>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9">
        <f t="shared" si="0"/>
        <v>4</v>
      </c>
      <c r="D104" s="84"/>
      <c r="E104" s="79"/>
      <c r="F104" s="79" t="s">
        <v>2371</v>
      </c>
      <c r="G104" s="84"/>
      <c r="H104" s="87" t="s">
        <v>2316</v>
      </c>
      <c r="I104" s="108" t="s">
        <v>2369</v>
      </c>
      <c r="J104" s="87"/>
      <c r="K104" s="109">
        <v>4.9147000000000003E-2</v>
      </c>
      <c r="L104" s="109"/>
      <c r="M104" s="109"/>
      <c r="N104" s="109"/>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9">
        <f t="shared" si="0"/>
        <v>4</v>
      </c>
      <c r="D105" s="84"/>
      <c r="E105" s="79"/>
      <c r="F105" s="79" t="s">
        <v>2372</v>
      </c>
      <c r="G105" s="84"/>
      <c r="H105" s="87" t="s">
        <v>2318</v>
      </c>
      <c r="I105" s="108" t="s">
        <v>2369</v>
      </c>
      <c r="J105" s="87"/>
      <c r="K105" s="109">
        <v>3.4518800000000002E-2</v>
      </c>
      <c r="L105" s="109"/>
      <c r="M105" s="109"/>
      <c r="N105" s="109"/>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9">
        <f t="shared" si="0"/>
        <v>4</v>
      </c>
      <c r="D106" s="84"/>
      <c r="E106" s="79"/>
      <c r="F106" s="79" t="s">
        <v>2373</v>
      </c>
      <c r="G106" s="84"/>
      <c r="H106" s="87" t="s">
        <v>2320</v>
      </c>
      <c r="I106" s="108" t="s">
        <v>2369</v>
      </c>
      <c r="J106" s="87"/>
      <c r="K106" s="109">
        <v>0</v>
      </c>
      <c r="L106" s="109"/>
      <c r="M106" s="109"/>
      <c r="N106" s="109"/>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9">
        <f t="shared" si="0"/>
        <v>4</v>
      </c>
      <c r="D107" s="84"/>
      <c r="E107" s="79"/>
      <c r="F107" s="79" t="s">
        <v>2374</v>
      </c>
      <c r="G107" s="84"/>
      <c r="H107" s="87" t="s">
        <v>2322</v>
      </c>
      <c r="I107" s="108" t="s">
        <v>2369</v>
      </c>
      <c r="J107" s="87"/>
      <c r="K107" s="109">
        <v>0</v>
      </c>
      <c r="L107" s="109"/>
      <c r="M107" s="109"/>
      <c r="N107" s="109"/>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9">
        <f t="shared" si="0"/>
        <v>4</v>
      </c>
      <c r="D108" s="84"/>
      <c r="E108" s="79"/>
      <c r="F108" s="79" t="s">
        <v>2375</v>
      </c>
      <c r="G108" s="84"/>
      <c r="H108" s="87" t="s">
        <v>2376</v>
      </c>
      <c r="I108" s="108" t="s">
        <v>2377</v>
      </c>
      <c r="J108" s="87"/>
      <c r="K108" s="109">
        <v>0</v>
      </c>
      <c r="L108" s="109"/>
      <c r="M108" s="109"/>
      <c r="N108" s="109"/>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9">
        <f t="shared" si="0"/>
        <v>4</v>
      </c>
      <c r="D109" s="84"/>
      <c r="E109" s="79"/>
      <c r="F109" s="79" t="s">
        <v>2378</v>
      </c>
      <c r="G109" s="84"/>
      <c r="H109" s="87" t="s">
        <v>2314</v>
      </c>
      <c r="I109" s="108" t="s">
        <v>2377</v>
      </c>
      <c r="J109" s="87"/>
      <c r="K109" s="109">
        <v>0</v>
      </c>
      <c r="L109" s="109"/>
      <c r="M109" s="109"/>
      <c r="N109" s="109"/>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9">
        <f t="shared" si="0"/>
        <v>4</v>
      </c>
      <c r="D110" s="84"/>
      <c r="E110" s="79"/>
      <c r="F110" s="79" t="s">
        <v>2379</v>
      </c>
      <c r="G110" s="84"/>
      <c r="H110" s="87" t="s">
        <v>2316</v>
      </c>
      <c r="I110" s="108" t="s">
        <v>2377</v>
      </c>
      <c r="J110" s="87"/>
      <c r="K110" s="109">
        <v>-25.44</v>
      </c>
      <c r="L110" s="109"/>
      <c r="M110" s="109"/>
      <c r="N110" s="109"/>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9">
        <f t="shared" si="0"/>
        <v>4</v>
      </c>
      <c r="D111" s="84"/>
      <c r="E111" s="79"/>
      <c r="F111" s="79" t="s">
        <v>2380</v>
      </c>
      <c r="G111" s="84"/>
      <c r="H111" s="87" t="s">
        <v>2318</v>
      </c>
      <c r="I111" s="108" t="s">
        <v>2377</v>
      </c>
      <c r="J111" s="87"/>
      <c r="K111" s="109">
        <v>-19.876000000000001</v>
      </c>
      <c r="L111" s="109"/>
      <c r="M111" s="109"/>
      <c r="N111" s="109"/>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9">
        <f>INT($C$40)+3</f>
        <v>4</v>
      </c>
      <c r="D112" s="84"/>
      <c r="E112" s="79"/>
      <c r="F112" s="79" t="s">
        <v>2381</v>
      </c>
      <c r="G112" s="84"/>
      <c r="H112" s="87" t="s">
        <v>2320</v>
      </c>
      <c r="I112" s="108" t="s">
        <v>2377</v>
      </c>
      <c r="J112" s="87"/>
      <c r="K112" s="109">
        <v>-3</v>
      </c>
      <c r="L112" s="109"/>
      <c r="M112" s="109"/>
      <c r="N112" s="109"/>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9">
        <f>INT($C$40)+3</f>
        <v>4</v>
      </c>
      <c r="D113" s="84"/>
      <c r="E113" s="79"/>
      <c r="F113" s="79" t="s">
        <v>2382</v>
      </c>
      <c r="G113" s="84"/>
      <c r="H113" s="87" t="s">
        <v>2322</v>
      </c>
      <c r="I113" s="108" t="s">
        <v>2377</v>
      </c>
      <c r="J113" s="87"/>
      <c r="K113" s="109">
        <v>-3</v>
      </c>
      <c r="L113" s="109"/>
      <c r="M113" s="109"/>
      <c r="N113" s="109"/>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9">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9">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9">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3"/>
      <c r="C117" s="112">
        <f>INT($C$40)+1.005</f>
        <v>2.0049999999999999</v>
      </c>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6" t="s">
        <v>213</v>
      </c>
      <c r="AB117" s="54"/>
      <c r="AC117" s="54"/>
      <c r="AD117" s="54"/>
    </row>
    <row r="118" spans="1:30" ht="5.0999999999999996" customHeight="1" x14ac:dyDescent="0.25">
      <c r="A118" s="54"/>
      <c r="B118" s="97"/>
      <c r="C118" s="114">
        <f>INT($C$40)+0.005</f>
        <v>1.0049999999999999</v>
      </c>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54"/>
      <c r="AC118" s="54"/>
      <c r="AD118" s="54"/>
    </row>
    <row r="119" spans="1:30" outlineLevel="2" x14ac:dyDescent="0.25">
      <c r="A119" s="54"/>
      <c r="B119" s="54"/>
      <c r="C119" s="99">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9" t="s">
        <v>524</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336</vt:i4>
      </vt:variant>
    </vt:vector>
  </HeadingPairs>
  <TitlesOfParts>
    <vt:vector size="346"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2021-03-18T14:51:19Z</dcterms:modified>
</cp:coreProperties>
</file>